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4"/>
  <workbookPr/>
  <mc:AlternateContent xmlns:mc="http://schemas.openxmlformats.org/markup-compatibility/2006">
    <mc:Choice Requires="x15">
      <x15ac:absPath xmlns:x15ac="http://schemas.microsoft.com/office/spreadsheetml/2010/11/ac" url="/Users/eksage/Desktop/"/>
    </mc:Choice>
  </mc:AlternateContent>
  <xr:revisionPtr revIDLastSave="0" documentId="8_{FDA8DFB9-6BB7-ED46-81DB-E1D3BB96E897}" xr6:coauthVersionLast="47" xr6:coauthVersionMax="47" xr10:uidLastSave="{00000000-0000-0000-0000-000000000000}"/>
  <bookViews>
    <workbookView xWindow="0" yWindow="600" windowWidth="28800" windowHeight="17400" tabRatio="500" firstSheet="1" activeTab="6" xr2:uid="{00000000-000D-0000-FFFF-FFFF00000000}"/>
  </bookViews>
  <sheets>
    <sheet name="⚙ Sistem Kurulumu" sheetId="1" r:id="rId1"/>
    <sheet name="🌤 Meteoroloji" sheetId="2" r:id="rId2"/>
    <sheet name="💧 Sayaç Verileri (T1)" sheetId="3" r:id="rId3"/>
    <sheet name="🔧 Ekipman Listesi (T2)" sheetId="4" r:id="rId4"/>
    <sheet name="💨 Buharlaşma (ASHRAE)" sheetId="5" r:id="rId5"/>
    <sheet name="⚖ Denge Tablosu" sheetId="6" r:id="rId6"/>
    <sheet name="📊 Dashboard" sheetId="7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32" i="6" l="1"/>
  <c r="P14" i="6"/>
  <c r="O14" i="6"/>
  <c r="N14" i="6"/>
  <c r="M14" i="6"/>
  <c r="L14" i="6"/>
  <c r="K14" i="6"/>
  <c r="J14" i="6"/>
  <c r="I14" i="6"/>
  <c r="H14" i="6"/>
  <c r="G14" i="6"/>
  <c r="F14" i="6"/>
  <c r="E14" i="6"/>
  <c r="D14" i="6"/>
  <c r="O12" i="6"/>
  <c r="N12" i="6"/>
  <c r="M12" i="6"/>
  <c r="L12" i="6"/>
  <c r="K12" i="6"/>
  <c r="J12" i="6"/>
  <c r="O8" i="6"/>
  <c r="N8" i="6"/>
  <c r="M8" i="6"/>
  <c r="L8" i="6"/>
  <c r="K8" i="6"/>
  <c r="J8" i="6"/>
  <c r="I8" i="6"/>
  <c r="H8" i="6"/>
  <c r="G8" i="6"/>
  <c r="F8" i="6"/>
  <c r="E8" i="6"/>
  <c r="D8" i="6"/>
  <c r="P8" i="6" s="1"/>
  <c r="O7" i="6"/>
  <c r="N7" i="6"/>
  <c r="M7" i="6"/>
  <c r="L7" i="6"/>
  <c r="K7" i="6"/>
  <c r="J7" i="6"/>
  <c r="I7" i="6"/>
  <c r="H7" i="6"/>
  <c r="G7" i="6"/>
  <c r="F7" i="6"/>
  <c r="E7" i="6"/>
  <c r="D7" i="6"/>
  <c r="P7" i="6" s="1"/>
  <c r="O6" i="6"/>
  <c r="O9" i="6" s="1"/>
  <c r="N6" i="6"/>
  <c r="N9" i="6" s="1"/>
  <c r="M6" i="6"/>
  <c r="M9" i="6" s="1"/>
  <c r="L6" i="6"/>
  <c r="L9" i="6" s="1"/>
  <c r="K6" i="6"/>
  <c r="K9" i="6" s="1"/>
  <c r="J6" i="6"/>
  <c r="J9" i="6" s="1"/>
  <c r="I6" i="6"/>
  <c r="I9" i="6" s="1"/>
  <c r="H6" i="6"/>
  <c r="H9" i="6" s="1"/>
  <c r="G6" i="6"/>
  <c r="G9" i="6" s="1"/>
  <c r="F6" i="6"/>
  <c r="F9" i="6" s="1"/>
  <c r="E6" i="6"/>
  <c r="E9" i="6" s="1"/>
  <c r="D6" i="6"/>
  <c r="O27" i="5"/>
  <c r="N27" i="5"/>
  <c r="M27" i="5"/>
  <c r="L27" i="5"/>
  <c r="K27" i="5"/>
  <c r="J27" i="5"/>
  <c r="I27" i="5"/>
  <c r="H27" i="5"/>
  <c r="G27" i="5"/>
  <c r="F27" i="5"/>
  <c r="E27" i="5"/>
  <c r="D27" i="5"/>
  <c r="P27" i="5" s="1"/>
  <c r="O25" i="5"/>
  <c r="N25" i="5"/>
  <c r="M25" i="5"/>
  <c r="L25" i="5"/>
  <c r="K25" i="5"/>
  <c r="J25" i="5"/>
  <c r="I25" i="5"/>
  <c r="H25" i="5"/>
  <c r="G25" i="5"/>
  <c r="F25" i="5"/>
  <c r="E25" i="5"/>
  <c r="D25" i="5"/>
  <c r="O24" i="5"/>
  <c r="N24" i="5"/>
  <c r="M24" i="5"/>
  <c r="L24" i="5"/>
  <c r="K24" i="5"/>
  <c r="J24" i="5"/>
  <c r="I24" i="5"/>
  <c r="H24" i="5"/>
  <c r="G24" i="5"/>
  <c r="F24" i="5"/>
  <c r="E24" i="5"/>
  <c r="D24" i="5"/>
  <c r="P24" i="5" s="1"/>
  <c r="N12" i="5"/>
  <c r="M12" i="5"/>
  <c r="L12" i="5"/>
  <c r="K12" i="5"/>
  <c r="J12" i="5"/>
  <c r="I12" i="5"/>
  <c r="H12" i="5"/>
  <c r="G12" i="5"/>
  <c r="F12" i="5"/>
  <c r="E12" i="5"/>
  <c r="D12" i="5"/>
  <c r="T48" i="4"/>
  <c r="S48" i="4"/>
  <c r="R48" i="4"/>
  <c r="Q48" i="4"/>
  <c r="P48" i="4"/>
  <c r="O48" i="4"/>
  <c r="N48" i="4"/>
  <c r="M48" i="4"/>
  <c r="L48" i="4"/>
  <c r="K48" i="4"/>
  <c r="J48" i="4"/>
  <c r="I48" i="4"/>
  <c r="H48" i="4"/>
  <c r="G48" i="4"/>
  <c r="F48" i="4"/>
  <c r="E48" i="4"/>
  <c r="D48" i="4"/>
  <c r="C48" i="4"/>
  <c r="B48" i="4"/>
  <c r="A48" i="4"/>
  <c r="T47" i="4"/>
  <c r="S47" i="4"/>
  <c r="R47" i="4"/>
  <c r="Q47" i="4"/>
  <c r="P47" i="4"/>
  <c r="O47" i="4"/>
  <c r="N47" i="4"/>
  <c r="M47" i="4"/>
  <c r="L47" i="4"/>
  <c r="K47" i="4"/>
  <c r="J47" i="4"/>
  <c r="I47" i="4"/>
  <c r="H47" i="4"/>
  <c r="G47" i="4"/>
  <c r="F47" i="4"/>
  <c r="E47" i="4"/>
  <c r="D47" i="4"/>
  <c r="C47" i="4"/>
  <c r="B47" i="4"/>
  <c r="A47" i="4"/>
  <c r="T46" i="4"/>
  <c r="S46" i="4"/>
  <c r="R46" i="4"/>
  <c r="Q46" i="4"/>
  <c r="P46" i="4"/>
  <c r="O46" i="4"/>
  <c r="N46" i="4"/>
  <c r="M46" i="4"/>
  <c r="L46" i="4"/>
  <c r="K46" i="4"/>
  <c r="J46" i="4"/>
  <c r="I46" i="4"/>
  <c r="H46" i="4"/>
  <c r="G46" i="4"/>
  <c r="F46" i="4"/>
  <c r="E46" i="4"/>
  <c r="D46" i="4"/>
  <c r="C46" i="4"/>
  <c r="B46" i="4"/>
  <c r="A46" i="4"/>
  <c r="T45" i="4"/>
  <c r="S45" i="4"/>
  <c r="R45" i="4"/>
  <c r="Q45" i="4"/>
  <c r="P45" i="4"/>
  <c r="O45" i="4"/>
  <c r="N45" i="4"/>
  <c r="M45" i="4"/>
  <c r="L45" i="4"/>
  <c r="K45" i="4"/>
  <c r="J45" i="4"/>
  <c r="I45" i="4"/>
  <c r="H45" i="4"/>
  <c r="G45" i="4"/>
  <c r="F45" i="4"/>
  <c r="E45" i="4"/>
  <c r="D45" i="4"/>
  <c r="C45" i="4"/>
  <c r="B45" i="4"/>
  <c r="A45" i="4"/>
  <c r="T44" i="4"/>
  <c r="S44" i="4"/>
  <c r="R44" i="4"/>
  <c r="Q44" i="4"/>
  <c r="P44" i="4"/>
  <c r="O44" i="4"/>
  <c r="N44" i="4"/>
  <c r="M44" i="4"/>
  <c r="L44" i="4"/>
  <c r="K44" i="4"/>
  <c r="J44" i="4"/>
  <c r="I44" i="4"/>
  <c r="H44" i="4"/>
  <c r="G44" i="4"/>
  <c r="F44" i="4"/>
  <c r="E44" i="4"/>
  <c r="D44" i="4"/>
  <c r="C44" i="4"/>
  <c r="B44" i="4"/>
  <c r="A44" i="4"/>
  <c r="T43" i="4"/>
  <c r="S43" i="4"/>
  <c r="R43" i="4"/>
  <c r="Q43" i="4"/>
  <c r="P43" i="4"/>
  <c r="O43" i="4"/>
  <c r="N43" i="4"/>
  <c r="M43" i="4"/>
  <c r="L43" i="4"/>
  <c r="K43" i="4"/>
  <c r="J43" i="4"/>
  <c r="I43" i="4"/>
  <c r="H43" i="4"/>
  <c r="G43" i="4"/>
  <c r="F43" i="4"/>
  <c r="E43" i="4"/>
  <c r="D43" i="4"/>
  <c r="C43" i="4"/>
  <c r="B43" i="4"/>
  <c r="A43" i="4"/>
  <c r="T42" i="4"/>
  <c r="S42" i="4"/>
  <c r="R42" i="4"/>
  <c r="Q42" i="4"/>
  <c r="P42" i="4"/>
  <c r="O42" i="4"/>
  <c r="N42" i="4"/>
  <c r="M42" i="4"/>
  <c r="L42" i="4"/>
  <c r="K42" i="4"/>
  <c r="J42" i="4"/>
  <c r="I42" i="4"/>
  <c r="H42" i="4"/>
  <c r="G42" i="4"/>
  <c r="F42" i="4"/>
  <c r="E42" i="4"/>
  <c r="D42" i="4"/>
  <c r="C42" i="4"/>
  <c r="B42" i="4"/>
  <c r="A42" i="4"/>
  <c r="T41" i="4"/>
  <c r="S41" i="4"/>
  <c r="R41" i="4"/>
  <c r="Q41" i="4"/>
  <c r="P41" i="4"/>
  <c r="O41" i="4"/>
  <c r="N41" i="4"/>
  <c r="M41" i="4"/>
  <c r="L41" i="4"/>
  <c r="K41" i="4"/>
  <c r="J41" i="4"/>
  <c r="I41" i="4"/>
  <c r="H41" i="4"/>
  <c r="G41" i="4"/>
  <c r="F41" i="4"/>
  <c r="E41" i="4"/>
  <c r="D41" i="4"/>
  <c r="C41" i="4"/>
  <c r="B41" i="4"/>
  <c r="A41" i="4"/>
  <c r="T40" i="4"/>
  <c r="S40" i="4"/>
  <c r="R40" i="4"/>
  <c r="Q40" i="4"/>
  <c r="P40" i="4"/>
  <c r="O40" i="4"/>
  <c r="N40" i="4"/>
  <c r="M40" i="4"/>
  <c r="L40" i="4"/>
  <c r="K40" i="4"/>
  <c r="J40" i="4"/>
  <c r="I40" i="4"/>
  <c r="H40" i="4"/>
  <c r="G40" i="4"/>
  <c r="F40" i="4"/>
  <c r="E40" i="4"/>
  <c r="D40" i="4"/>
  <c r="C40" i="4"/>
  <c r="B40" i="4"/>
  <c r="A40" i="4"/>
  <c r="T39" i="4"/>
  <c r="S39" i="4"/>
  <c r="R39" i="4"/>
  <c r="Q39" i="4"/>
  <c r="P39" i="4"/>
  <c r="O39" i="4"/>
  <c r="N39" i="4"/>
  <c r="M39" i="4"/>
  <c r="L39" i="4"/>
  <c r="K39" i="4"/>
  <c r="J39" i="4"/>
  <c r="I39" i="4"/>
  <c r="H39" i="4"/>
  <c r="G39" i="4"/>
  <c r="F39" i="4"/>
  <c r="E39" i="4"/>
  <c r="D39" i="4"/>
  <c r="C39" i="4"/>
  <c r="B39" i="4"/>
  <c r="A39" i="4"/>
  <c r="T38" i="4"/>
  <c r="S38" i="4"/>
  <c r="R38" i="4"/>
  <c r="Q38" i="4"/>
  <c r="P38" i="4"/>
  <c r="O38" i="4"/>
  <c r="N38" i="4"/>
  <c r="M38" i="4"/>
  <c r="L38" i="4"/>
  <c r="K38" i="4"/>
  <c r="J38" i="4"/>
  <c r="I38" i="4"/>
  <c r="H38" i="4"/>
  <c r="G38" i="4"/>
  <c r="F38" i="4"/>
  <c r="E38" i="4"/>
  <c r="D38" i="4"/>
  <c r="C38" i="4"/>
  <c r="B38" i="4"/>
  <c r="A38" i="4"/>
  <c r="T37" i="4"/>
  <c r="S37" i="4"/>
  <c r="R37" i="4"/>
  <c r="Q37" i="4"/>
  <c r="P37" i="4"/>
  <c r="O37" i="4"/>
  <c r="N37" i="4"/>
  <c r="M37" i="4"/>
  <c r="L37" i="4"/>
  <c r="K37" i="4"/>
  <c r="J37" i="4"/>
  <c r="I37" i="4"/>
  <c r="H37" i="4"/>
  <c r="G37" i="4"/>
  <c r="F37" i="4"/>
  <c r="E37" i="4"/>
  <c r="D37" i="4"/>
  <c r="C37" i="4"/>
  <c r="B37" i="4"/>
  <c r="A37" i="4"/>
  <c r="T36" i="4"/>
  <c r="S36" i="4"/>
  <c r="R36" i="4"/>
  <c r="Q36" i="4"/>
  <c r="P36" i="4"/>
  <c r="O36" i="4"/>
  <c r="N36" i="4"/>
  <c r="M36" i="4"/>
  <c r="L36" i="4"/>
  <c r="K36" i="4"/>
  <c r="J36" i="4"/>
  <c r="I36" i="4"/>
  <c r="H36" i="4"/>
  <c r="G36" i="4"/>
  <c r="F36" i="4"/>
  <c r="E36" i="4"/>
  <c r="D36" i="4"/>
  <c r="C36" i="4"/>
  <c r="B36" i="4"/>
  <c r="A36" i="4"/>
  <c r="T35" i="4"/>
  <c r="S35" i="4"/>
  <c r="R35" i="4"/>
  <c r="Q35" i="4"/>
  <c r="P35" i="4"/>
  <c r="O35" i="4"/>
  <c r="N35" i="4"/>
  <c r="M35" i="4"/>
  <c r="L35" i="4"/>
  <c r="K35" i="4"/>
  <c r="J35" i="4"/>
  <c r="I35" i="4"/>
  <c r="H35" i="4"/>
  <c r="G35" i="4"/>
  <c r="F35" i="4"/>
  <c r="E35" i="4"/>
  <c r="D35" i="4"/>
  <c r="C35" i="4"/>
  <c r="B35" i="4"/>
  <c r="A35" i="4"/>
  <c r="T34" i="4"/>
  <c r="S34" i="4"/>
  <c r="R34" i="4"/>
  <c r="Q34" i="4"/>
  <c r="P34" i="4"/>
  <c r="O34" i="4"/>
  <c r="N34" i="4"/>
  <c r="M34" i="4"/>
  <c r="L34" i="4"/>
  <c r="K34" i="4"/>
  <c r="J34" i="4"/>
  <c r="I34" i="4"/>
  <c r="H34" i="4"/>
  <c r="G34" i="4"/>
  <c r="F34" i="4"/>
  <c r="E34" i="4"/>
  <c r="D34" i="4"/>
  <c r="C34" i="4"/>
  <c r="B34" i="4"/>
  <c r="A34" i="4"/>
  <c r="T33" i="4"/>
  <c r="S33" i="4"/>
  <c r="R33" i="4"/>
  <c r="Q33" i="4"/>
  <c r="P33" i="4"/>
  <c r="O33" i="4"/>
  <c r="N33" i="4"/>
  <c r="M33" i="4"/>
  <c r="L33" i="4"/>
  <c r="K33" i="4"/>
  <c r="J33" i="4"/>
  <c r="I33" i="4"/>
  <c r="H33" i="4"/>
  <c r="G33" i="4"/>
  <c r="F33" i="4"/>
  <c r="E33" i="4"/>
  <c r="D33" i="4"/>
  <c r="C33" i="4"/>
  <c r="B33" i="4"/>
  <c r="A33" i="4"/>
  <c r="T32" i="4"/>
  <c r="S32" i="4"/>
  <c r="R32" i="4"/>
  <c r="Q32" i="4"/>
  <c r="P32" i="4"/>
  <c r="O32" i="4"/>
  <c r="N32" i="4"/>
  <c r="M32" i="4"/>
  <c r="L32" i="4"/>
  <c r="K32" i="4"/>
  <c r="J32" i="4"/>
  <c r="I32" i="4"/>
  <c r="H32" i="4"/>
  <c r="G32" i="4"/>
  <c r="F32" i="4"/>
  <c r="E32" i="4"/>
  <c r="D32" i="4"/>
  <c r="C32" i="4"/>
  <c r="B32" i="4"/>
  <c r="A32" i="4"/>
  <c r="T31" i="4"/>
  <c r="S31" i="4"/>
  <c r="S49" i="4" s="1"/>
  <c r="N13" i="6" s="1"/>
  <c r="R31" i="4"/>
  <c r="R49" i="4" s="1"/>
  <c r="M13" i="6" s="1"/>
  <c r="Q31" i="4"/>
  <c r="Q49" i="4" s="1"/>
  <c r="L13" i="6" s="1"/>
  <c r="P31" i="4"/>
  <c r="P49" i="4" s="1"/>
  <c r="K13" i="6" s="1"/>
  <c r="O31" i="4"/>
  <c r="O49" i="4" s="1"/>
  <c r="J13" i="6" s="1"/>
  <c r="N31" i="4"/>
  <c r="N49" i="4" s="1"/>
  <c r="I13" i="6" s="1"/>
  <c r="M31" i="4"/>
  <c r="M49" i="4" s="1"/>
  <c r="H13" i="6" s="1"/>
  <c r="L31" i="4"/>
  <c r="L49" i="4" s="1"/>
  <c r="G13" i="6" s="1"/>
  <c r="K31" i="4"/>
  <c r="K49" i="4" s="1"/>
  <c r="F13" i="6" s="1"/>
  <c r="J31" i="4"/>
  <c r="J49" i="4" s="1"/>
  <c r="E13" i="6" s="1"/>
  <c r="I31" i="4"/>
  <c r="I49" i="4" s="1"/>
  <c r="D13" i="6" s="1"/>
  <c r="H31" i="4"/>
  <c r="G31" i="4"/>
  <c r="F31" i="4"/>
  <c r="E31" i="4"/>
  <c r="D31" i="4"/>
  <c r="C31" i="4"/>
  <c r="B31" i="4"/>
  <c r="A31" i="4"/>
  <c r="T30" i="4"/>
  <c r="T49" i="4" s="1"/>
  <c r="O13" i="6" s="1"/>
  <c r="S30" i="4"/>
  <c r="R30" i="4"/>
  <c r="Q30" i="4"/>
  <c r="P30" i="4"/>
  <c r="O30" i="4"/>
  <c r="N30" i="4"/>
  <c r="M30" i="4"/>
  <c r="L30" i="4"/>
  <c r="K30" i="4"/>
  <c r="J30" i="4"/>
  <c r="I30" i="4"/>
  <c r="H30" i="4"/>
  <c r="G30" i="4"/>
  <c r="F30" i="4"/>
  <c r="E30" i="4"/>
  <c r="D30" i="4"/>
  <c r="C30" i="4"/>
  <c r="B30" i="4"/>
  <c r="A30" i="4"/>
  <c r="T29" i="4"/>
  <c r="S29" i="4"/>
  <c r="R29" i="4"/>
  <c r="Q29" i="4"/>
  <c r="P29" i="4"/>
  <c r="O29" i="4"/>
  <c r="N29" i="4"/>
  <c r="M29" i="4"/>
  <c r="L29" i="4"/>
  <c r="K29" i="4"/>
  <c r="J29" i="4"/>
  <c r="I29" i="4"/>
  <c r="H29" i="4"/>
  <c r="G29" i="4"/>
  <c r="F29" i="4"/>
  <c r="E29" i="4"/>
  <c r="D29" i="4"/>
  <c r="C29" i="4"/>
  <c r="B29" i="4"/>
  <c r="A29" i="4"/>
  <c r="O28" i="3"/>
  <c r="N28" i="3"/>
  <c r="M28" i="3"/>
  <c r="L28" i="3"/>
  <c r="K28" i="3"/>
  <c r="J28" i="3"/>
  <c r="I28" i="3"/>
  <c r="I12" i="6" s="1"/>
  <c r="I15" i="6" s="1"/>
  <c r="C25" i="7" s="1"/>
  <c r="H28" i="3"/>
  <c r="H12" i="6" s="1"/>
  <c r="G28" i="3"/>
  <c r="G12" i="6" s="1"/>
  <c r="G15" i="6" s="1"/>
  <c r="C23" i="7" s="1"/>
  <c r="F28" i="3"/>
  <c r="F12" i="6" s="1"/>
  <c r="F15" i="6" s="1"/>
  <c r="C22" i="7" s="1"/>
  <c r="E28" i="3"/>
  <c r="E12" i="6" s="1"/>
  <c r="E15" i="6" s="1"/>
  <c r="C21" i="7" s="1"/>
  <c r="D28" i="3"/>
  <c r="P27" i="3"/>
  <c r="P26" i="3"/>
  <c r="P25" i="3"/>
  <c r="P24" i="3"/>
  <c r="P23" i="3"/>
  <c r="P22" i="3"/>
  <c r="P21" i="3"/>
  <c r="P20" i="3"/>
  <c r="P19" i="3"/>
  <c r="O15" i="3"/>
  <c r="N15" i="3"/>
  <c r="M15" i="3"/>
  <c r="L15" i="3"/>
  <c r="K15" i="3"/>
  <c r="J15" i="3"/>
  <c r="I15" i="3"/>
  <c r="H15" i="3"/>
  <c r="G15" i="3"/>
  <c r="F15" i="3"/>
  <c r="E15" i="3"/>
  <c r="D15" i="3"/>
  <c r="P15" i="3" s="1"/>
  <c r="P14" i="3"/>
  <c r="P13" i="3"/>
  <c r="P12" i="3"/>
  <c r="P11" i="3"/>
  <c r="P10" i="3"/>
  <c r="P9" i="3"/>
  <c r="P8" i="3"/>
  <c r="P7" i="3"/>
  <c r="P6" i="3"/>
  <c r="N25" i="2"/>
  <c r="N26" i="2" s="1"/>
  <c r="N37" i="5" s="1"/>
  <c r="N38" i="5" s="1"/>
  <c r="N39" i="5" s="1"/>
  <c r="N40" i="5" s="1"/>
  <c r="M25" i="2"/>
  <c r="M26" i="2" s="1"/>
  <c r="M37" i="5" s="1"/>
  <c r="M38" i="5" s="1"/>
  <c r="M39" i="5" s="1"/>
  <c r="M40" i="5" s="1"/>
  <c r="L25" i="2"/>
  <c r="L26" i="2" s="1"/>
  <c r="L37" i="5" s="1"/>
  <c r="L38" i="5" s="1"/>
  <c r="L39" i="5" s="1"/>
  <c r="L40" i="5" s="1"/>
  <c r="K25" i="2"/>
  <c r="K26" i="2" s="1"/>
  <c r="K37" i="5" s="1"/>
  <c r="K38" i="5" s="1"/>
  <c r="K39" i="5" s="1"/>
  <c r="K40" i="5" s="1"/>
  <c r="J25" i="2"/>
  <c r="J26" i="2" s="1"/>
  <c r="J37" i="5" s="1"/>
  <c r="J38" i="5" s="1"/>
  <c r="J39" i="5" s="1"/>
  <c r="J40" i="5" s="1"/>
  <c r="I25" i="2"/>
  <c r="I26" i="2" s="1"/>
  <c r="I37" i="5" s="1"/>
  <c r="I38" i="5" s="1"/>
  <c r="I39" i="5" s="1"/>
  <c r="I40" i="5" s="1"/>
  <c r="H25" i="2"/>
  <c r="H26" i="2" s="1"/>
  <c r="H37" i="5" s="1"/>
  <c r="H38" i="5" s="1"/>
  <c r="H39" i="5" s="1"/>
  <c r="H40" i="5" s="1"/>
  <c r="G25" i="2"/>
  <c r="G26" i="2" s="1"/>
  <c r="G37" i="5" s="1"/>
  <c r="G38" i="5" s="1"/>
  <c r="G39" i="5" s="1"/>
  <c r="G40" i="5" s="1"/>
  <c r="F25" i="2"/>
  <c r="F26" i="2" s="1"/>
  <c r="F37" i="5" s="1"/>
  <c r="F38" i="5" s="1"/>
  <c r="F39" i="5" s="1"/>
  <c r="F40" i="5" s="1"/>
  <c r="E25" i="2"/>
  <c r="E26" i="2" s="1"/>
  <c r="E37" i="5" s="1"/>
  <c r="E38" i="5" s="1"/>
  <c r="E39" i="5" s="1"/>
  <c r="E40" i="5" s="1"/>
  <c r="D25" i="2"/>
  <c r="D26" i="2" s="1"/>
  <c r="D37" i="5" s="1"/>
  <c r="C25" i="2"/>
  <c r="J23" i="2"/>
  <c r="I23" i="2"/>
  <c r="H23" i="2"/>
  <c r="G23" i="2"/>
  <c r="F23" i="2"/>
  <c r="E23" i="2"/>
  <c r="E11" i="5" s="1"/>
  <c r="D23" i="2"/>
  <c r="D11" i="5" s="1"/>
  <c r="N22" i="2"/>
  <c r="M22" i="2"/>
  <c r="L22" i="2"/>
  <c r="K22" i="2"/>
  <c r="J22" i="2"/>
  <c r="J10" i="5" s="1"/>
  <c r="I22" i="2"/>
  <c r="I10" i="5" s="1"/>
  <c r="H22" i="2"/>
  <c r="H10" i="5" s="1"/>
  <c r="G22" i="2"/>
  <c r="G10" i="5" s="1"/>
  <c r="F22" i="2"/>
  <c r="F10" i="5" s="1"/>
  <c r="E22" i="2"/>
  <c r="D22" i="2"/>
  <c r="C22" i="2"/>
  <c r="O21" i="2"/>
  <c r="O20" i="2"/>
  <c r="O19" i="2"/>
  <c r="O18" i="2"/>
  <c r="O17" i="2"/>
  <c r="O12" i="5" s="1"/>
  <c r="O16" i="2"/>
  <c r="O15" i="2"/>
  <c r="O14" i="2"/>
  <c r="O13" i="2"/>
  <c r="O31" i="6" l="1"/>
  <c r="O33" i="6" s="1"/>
  <c r="B31" i="7"/>
  <c r="N31" i="6"/>
  <c r="N33" i="6" s="1"/>
  <c r="B30" i="7"/>
  <c r="M31" i="6"/>
  <c r="M33" i="6" s="1"/>
  <c r="B29" i="7"/>
  <c r="L31" i="6"/>
  <c r="L33" i="6" s="1"/>
  <c r="B28" i="7"/>
  <c r="K31" i="6"/>
  <c r="K33" i="6" s="1"/>
  <c r="B27" i="7"/>
  <c r="J31" i="6"/>
  <c r="J33" i="6" s="1"/>
  <c r="B26" i="7"/>
  <c r="I31" i="6"/>
  <c r="I33" i="6" s="1"/>
  <c r="B25" i="7"/>
  <c r="H31" i="6"/>
  <c r="H33" i="6" s="1"/>
  <c r="B24" i="7"/>
  <c r="G31" i="6"/>
  <c r="G33" i="6" s="1"/>
  <c r="B23" i="7"/>
  <c r="F31" i="6"/>
  <c r="F33" i="6" s="1"/>
  <c r="B22" i="7"/>
  <c r="E31" i="6"/>
  <c r="E33" i="6" s="1"/>
  <c r="B21" i="7"/>
  <c r="D9" i="6"/>
  <c r="P6" i="6"/>
  <c r="O26" i="5"/>
  <c r="O28" i="5"/>
  <c r="N26" i="5"/>
  <c r="N28" i="5" s="1"/>
  <c r="M26" i="5"/>
  <c r="M28" i="5" s="1"/>
  <c r="L26" i="5"/>
  <c r="L28" i="5" s="1"/>
  <c r="K26" i="5"/>
  <c r="K28" i="5" s="1"/>
  <c r="J26" i="5"/>
  <c r="J28" i="5" s="1"/>
  <c r="I26" i="5"/>
  <c r="I28" i="5" s="1"/>
  <c r="H26" i="5"/>
  <c r="H28" i="5" s="1"/>
  <c r="G26" i="5"/>
  <c r="G28" i="5" s="1"/>
  <c r="F26" i="5"/>
  <c r="F28" i="5"/>
  <c r="E26" i="5"/>
  <c r="E28" i="5" s="1"/>
  <c r="D26" i="5"/>
  <c r="P25" i="5"/>
  <c r="P28" i="3"/>
  <c r="D12" i="6"/>
  <c r="N54" i="5"/>
  <c r="N20" i="6"/>
  <c r="M54" i="5"/>
  <c r="M20" i="6"/>
  <c r="L54" i="5"/>
  <c r="L20" i="6"/>
  <c r="K54" i="5"/>
  <c r="K20" i="6"/>
  <c r="J54" i="5"/>
  <c r="J20" i="6"/>
  <c r="I54" i="5"/>
  <c r="I20" i="6"/>
  <c r="H54" i="5"/>
  <c r="H20" i="6"/>
  <c r="G54" i="5"/>
  <c r="G20" i="6"/>
  <c r="F54" i="5"/>
  <c r="F20" i="6"/>
  <c r="E54" i="5"/>
  <c r="E20" i="6"/>
  <c r="D38" i="5"/>
  <c r="C26" i="2"/>
  <c r="O25" i="2"/>
  <c r="J11" i="5"/>
  <c r="J13" i="5" s="1"/>
  <c r="J14" i="5" s="1"/>
  <c r="J24" i="2"/>
  <c r="J48" i="5" s="1"/>
  <c r="I11" i="5"/>
  <c r="I13" i="5" s="1"/>
  <c r="I14" i="5" s="1"/>
  <c r="I24" i="2"/>
  <c r="I48" i="5" s="1"/>
  <c r="H24" i="2"/>
  <c r="H48" i="5" s="1"/>
  <c r="H11" i="5"/>
  <c r="H13" i="5" s="1"/>
  <c r="H14" i="5" s="1"/>
  <c r="G24" i="2"/>
  <c r="G48" i="5" s="1"/>
  <c r="G11" i="5"/>
  <c r="G13" i="5" s="1"/>
  <c r="G14" i="5" s="1"/>
  <c r="F24" i="2"/>
  <c r="F48" i="5" s="1"/>
  <c r="F11" i="5"/>
  <c r="F13" i="5" s="1"/>
  <c r="F14" i="5" s="1"/>
  <c r="N23" i="2"/>
  <c r="N11" i="5" s="1"/>
  <c r="N10" i="5"/>
  <c r="N13" i="5" s="1"/>
  <c r="N14" i="5" s="1"/>
  <c r="N24" i="2"/>
  <c r="N48" i="5" s="1"/>
  <c r="M10" i="5"/>
  <c r="M23" i="2"/>
  <c r="L10" i="5"/>
  <c r="L23" i="2"/>
  <c r="L11" i="5" s="1"/>
  <c r="L24" i="2"/>
  <c r="L48" i="5" s="1"/>
  <c r="K10" i="5"/>
  <c r="K23" i="2"/>
  <c r="K11" i="5" s="1"/>
  <c r="O22" i="2"/>
  <c r="O10" i="5" s="1"/>
  <c r="K24" i="2"/>
  <c r="K48" i="5" s="1"/>
  <c r="E10" i="5"/>
  <c r="E13" i="5" s="1"/>
  <c r="E14" i="5" s="1"/>
  <c r="E24" i="2"/>
  <c r="E48" i="5" s="1"/>
  <c r="D10" i="5"/>
  <c r="D13" i="5" s="1"/>
  <c r="D14" i="5" s="1"/>
  <c r="D24" i="2"/>
  <c r="D48" i="5" s="1"/>
  <c r="C23" i="2"/>
  <c r="C24" i="2" s="1"/>
  <c r="P22" i="2"/>
  <c r="O15" i="6"/>
  <c r="C31" i="7" s="1"/>
  <c r="N15" i="6"/>
  <c r="C30" i="7" s="1"/>
  <c r="M15" i="6"/>
  <c r="C29" i="7" s="1"/>
  <c r="L15" i="6"/>
  <c r="C28" i="7" s="1"/>
  <c r="K15" i="6"/>
  <c r="C27" i="7" s="1"/>
  <c r="J15" i="6"/>
  <c r="C26" i="7" s="1"/>
  <c r="P13" i="6"/>
  <c r="H15" i="6"/>
  <c r="C24" i="7" s="1"/>
  <c r="P9" i="6" l="1"/>
  <c r="B6" i="7" s="1"/>
  <c r="D31" i="6"/>
  <c r="B20" i="7"/>
  <c r="O53" i="5"/>
  <c r="O19" i="6"/>
  <c r="N53" i="5"/>
  <c r="N19" i="6"/>
  <c r="M53" i="5"/>
  <c r="M19" i="6"/>
  <c r="L53" i="5"/>
  <c r="L19" i="6"/>
  <c r="K53" i="5"/>
  <c r="K19" i="6"/>
  <c r="J53" i="5"/>
  <c r="J19" i="6"/>
  <c r="I53" i="5"/>
  <c r="I19" i="6"/>
  <c r="H53" i="5"/>
  <c r="H19" i="6"/>
  <c r="G53" i="5"/>
  <c r="G19" i="6"/>
  <c r="F53" i="5"/>
  <c r="F19" i="6"/>
  <c r="E53" i="5"/>
  <c r="E19" i="6"/>
  <c r="P12" i="6"/>
  <c r="D15" i="6"/>
  <c r="D39" i="5"/>
  <c r="O26" i="2"/>
  <c r="O37" i="5" s="1"/>
  <c r="P26" i="2"/>
  <c r="J18" i="6"/>
  <c r="J52" i="5"/>
  <c r="J55" i="5"/>
  <c r="J21" i="6"/>
  <c r="I18" i="6"/>
  <c r="I52" i="5"/>
  <c r="I55" i="5"/>
  <c r="I21" i="6"/>
  <c r="H55" i="5"/>
  <c r="H21" i="6"/>
  <c r="H18" i="6"/>
  <c r="H52" i="5"/>
  <c r="G55" i="5"/>
  <c r="G21" i="6"/>
  <c r="G18" i="6"/>
  <c r="G52" i="5"/>
  <c r="F55" i="5"/>
  <c r="F21" i="6"/>
  <c r="F18" i="6"/>
  <c r="F52" i="5"/>
  <c r="N18" i="6"/>
  <c r="N52" i="5"/>
  <c r="N55" i="5"/>
  <c r="N21" i="6"/>
  <c r="L55" i="5"/>
  <c r="L21" i="6"/>
  <c r="K55" i="5"/>
  <c r="K21" i="6"/>
  <c r="E18" i="6"/>
  <c r="E52" i="5"/>
  <c r="E55" i="5"/>
  <c r="E21" i="6"/>
  <c r="D18" i="6"/>
  <c r="D52" i="5"/>
  <c r="D55" i="5"/>
  <c r="D21" i="6"/>
  <c r="O23" i="2"/>
  <c r="O11" i="5" s="1"/>
  <c r="O13" i="5" s="1"/>
  <c r="O14" i="5" s="1"/>
  <c r="P23" i="2"/>
  <c r="L13" i="5"/>
  <c r="L14" i="5" s="1"/>
  <c r="K13" i="5"/>
  <c r="K14" i="5" s="1"/>
  <c r="P14" i="5" s="1"/>
  <c r="P26" i="5"/>
  <c r="D28" i="5"/>
  <c r="M11" i="5"/>
  <c r="M13" i="5" s="1"/>
  <c r="M14" i="5" s="1"/>
  <c r="M24" i="2"/>
  <c r="P31" i="6" l="1"/>
  <c r="D33" i="6"/>
  <c r="P33" i="6" s="1"/>
  <c r="B11" i="7" s="1"/>
  <c r="P15" i="6"/>
  <c r="C20" i="7"/>
  <c r="D40" i="5"/>
  <c r="P37" i="5"/>
  <c r="O38" i="5"/>
  <c r="O18" i="6"/>
  <c r="O52" i="5"/>
  <c r="L52" i="5"/>
  <c r="L18" i="6"/>
  <c r="P18" i="6" s="1"/>
  <c r="K52" i="5"/>
  <c r="K56" i="5" s="1"/>
  <c r="K22" i="6" s="1"/>
  <c r="K18" i="6"/>
  <c r="D19" i="6"/>
  <c r="P19" i="6" s="1"/>
  <c r="D53" i="5"/>
  <c r="P53" i="5" s="1"/>
  <c r="P28" i="5"/>
  <c r="M52" i="5"/>
  <c r="M18" i="6"/>
  <c r="I56" i="5"/>
  <c r="I22" i="6" s="1"/>
  <c r="H56" i="5"/>
  <c r="H22" i="6" s="1"/>
  <c r="G56" i="5"/>
  <c r="G22" i="6" s="1"/>
  <c r="F56" i="5"/>
  <c r="F22" i="6" s="1"/>
  <c r="N56" i="5"/>
  <c r="N22" i="6" s="1"/>
  <c r="E56" i="5"/>
  <c r="E22" i="6" s="1"/>
  <c r="J56" i="5"/>
  <c r="J22" i="6" s="1"/>
  <c r="M48" i="5"/>
  <c r="P24" i="2"/>
  <c r="O24" i="2"/>
  <c r="O48" i="5" s="1"/>
  <c r="F6" i="7" l="1"/>
  <c r="F11" i="7"/>
  <c r="D54" i="5"/>
  <c r="D20" i="6"/>
  <c r="P38" i="5"/>
  <c r="O39" i="5"/>
  <c r="K26" i="6"/>
  <c r="K34" i="6"/>
  <c r="D27" i="7"/>
  <c r="D25" i="7"/>
  <c r="I34" i="6"/>
  <c r="I26" i="6"/>
  <c r="D24" i="7"/>
  <c r="H34" i="6"/>
  <c r="H26" i="6"/>
  <c r="D23" i="7"/>
  <c r="G34" i="6"/>
  <c r="G26" i="6"/>
  <c r="D22" i="7"/>
  <c r="F34" i="6"/>
  <c r="F26" i="6"/>
  <c r="D30" i="7"/>
  <c r="N34" i="6"/>
  <c r="N26" i="6"/>
  <c r="D21" i="7"/>
  <c r="E34" i="6"/>
  <c r="E26" i="6"/>
  <c r="D26" i="7"/>
  <c r="J34" i="6"/>
  <c r="J26" i="6"/>
  <c r="M55" i="5"/>
  <c r="M21" i="6"/>
  <c r="P48" i="5"/>
  <c r="O21" i="6"/>
  <c r="O55" i="5"/>
  <c r="L56" i="5"/>
  <c r="L22" i="6" s="1"/>
  <c r="P52" i="5"/>
  <c r="D56" i="5" l="1"/>
  <c r="P39" i="5"/>
  <c r="O40" i="5"/>
  <c r="H41" i="7"/>
  <c r="E27" i="7"/>
  <c r="K27" i="6"/>
  <c r="H39" i="7"/>
  <c r="E25" i="7"/>
  <c r="I27" i="6"/>
  <c r="H38" i="7"/>
  <c r="E24" i="7"/>
  <c r="H27" i="6"/>
  <c r="H37" i="7"/>
  <c r="E23" i="7"/>
  <c r="G27" i="6"/>
  <c r="H36" i="7"/>
  <c r="E22" i="7"/>
  <c r="F27" i="6"/>
  <c r="H44" i="7"/>
  <c r="E30" i="7"/>
  <c r="N27" i="6"/>
  <c r="H35" i="7"/>
  <c r="E21" i="7"/>
  <c r="E27" i="6"/>
  <c r="H40" i="7"/>
  <c r="E26" i="7"/>
  <c r="J27" i="6"/>
  <c r="P55" i="5"/>
  <c r="M56" i="5"/>
  <c r="M22" i="6" s="1"/>
  <c r="D28" i="7"/>
  <c r="L34" i="6"/>
  <c r="L26" i="6"/>
  <c r="P21" i="6"/>
  <c r="D22" i="6" l="1"/>
  <c r="P40" i="5"/>
  <c r="O54" i="5"/>
  <c r="O20" i="6"/>
  <c r="P20" i="6" s="1"/>
  <c r="D29" i="7"/>
  <c r="M34" i="6"/>
  <c r="M26" i="6"/>
  <c r="H42" i="7"/>
  <c r="E28" i="7"/>
  <c r="L27" i="6"/>
  <c r="D26" i="6" l="1"/>
  <c r="D34" i="6"/>
  <c r="D20" i="7"/>
  <c r="P54" i="5"/>
  <c r="O56" i="5"/>
  <c r="E29" i="7"/>
  <c r="H43" i="7"/>
  <c r="M27" i="6"/>
  <c r="E20" i="7" l="1"/>
  <c r="H34" i="7"/>
  <c r="D27" i="6"/>
  <c r="P56" i="5"/>
  <c r="O22" i="6"/>
  <c r="P22" i="6" l="1"/>
  <c r="O26" i="6"/>
  <c r="O34" i="6"/>
  <c r="P34" i="6" s="1"/>
  <c r="D31" i="7"/>
  <c r="N11" i="7" l="1"/>
  <c r="J6" i="7"/>
  <c r="P26" i="6"/>
  <c r="E31" i="7"/>
  <c r="H45" i="7"/>
  <c r="O27" i="6"/>
  <c r="J11" i="7" l="1"/>
  <c r="N6" i="7"/>
  <c r="P27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EKREM SABIR GEZER</author>
  </authors>
  <commentList>
    <comment ref="C34" authorId="0" shapeId="0" xr:uid="{00000000-0006-0000-0400-000001000000}">
      <text>
        <r>
          <rPr>
            <sz val="11"/>
            <color theme="1"/>
            <rFont val="Calibri"/>
            <family val="2"/>
            <charset val="1"/>
          </rPr>
          <t>EKREM SABIR GEZER:
Kc katsayısı: çimen≈0.85, ağaç≈0.7-1.0, sebze≈1.0-1.15</t>
        </r>
      </text>
    </comment>
  </commentList>
</comments>
</file>

<file path=xl/sharedStrings.xml><?xml version="1.0" encoding="utf-8"?>
<sst xmlns="http://schemas.openxmlformats.org/spreadsheetml/2006/main" count="604" uniqueCount="395">
  <si>
    <t>SU KÜtle DENGESİ — YÖNETİCİ DASHBOARD</t>
  </si>
  <si>
    <t>ISO 46001:2019  |  ASHRAE Buharlaşma  |  Tüm sekmelerden otomatik beslenir</t>
  </si>
  <si>
    <t xml:space="preserve">  YILLIK KPI ÖZETİ</t>
  </si>
  <si>
    <t>Toplam Su Girişi</t>
  </si>
  <si>
    <t>Toplam Çıkış</t>
  </si>
  <si>
    <t>Toplam Buharlaşma</t>
  </si>
  <si>
    <t>Açıklanamayan Kayıp</t>
  </si>
  <si>
    <t>m³/yıl</t>
  </si>
  <si>
    <t>Su Tüketimi (ISO 46001)</t>
  </si>
  <si>
    <t>Geri Kazanım Oranı</t>
  </si>
  <si>
    <t>Kayıp Oranı (Fark/Giriş)</t>
  </si>
  <si>
    <t>Buharlaşma Oranı</t>
  </si>
  <si>
    <t>%</t>
  </si>
  <si>
    <t xml:space="preserve">  AYLIK SU DENGESİ GRAFİKLERİ</t>
  </si>
  <si>
    <t>Ay</t>
  </si>
  <si>
    <t>Giriş</t>
  </si>
  <si>
    <t>Çıkış</t>
  </si>
  <si>
    <t>Buharlaşma</t>
  </si>
  <si>
    <t>Kayıp</t>
  </si>
  <si>
    <t>Oca</t>
  </si>
  <si>
    <t>Şub</t>
  </si>
  <si>
    <t>Mar</t>
  </si>
  <si>
    <t>Nis</t>
  </si>
  <si>
    <t>May</t>
  </si>
  <si>
    <t>Haz</t>
  </si>
  <si>
    <t>Tem</t>
  </si>
  <si>
    <t>Ağu</t>
  </si>
  <si>
    <t>Eyl</t>
  </si>
  <si>
    <t>Eki</t>
  </si>
  <si>
    <t>Kas</t>
  </si>
  <si>
    <t>Ara</t>
  </si>
  <si>
    <t>Kayıp %</t>
  </si>
  <si>
    <t>DENGE NOTU: Kayıp oranı &lt;%5 → Kabul edilebilir (yeşil)  |  %5-15 → Araştırılmalı (sarı)  |  &gt;%15 → Acil inceleme (kırmızı)  |  ISO 46001 su tüketimi = Giriş − Geri Kazanılan. Buharlaşma açıklanan tüketim.</t>
  </si>
  <si>
    <t>SU KÜtle DENGESİ SİSTEMİ — KURULUM VE KONFİGÜRASYON</t>
  </si>
  <si>
    <t>ISO 46001:2019 Md. 6.2  |  ASHRAE Standartlarına Uygun  |  Universal Su Dengesi Modeli</t>
  </si>
  <si>
    <t xml:space="preserve">  TESİS BİLGİLERİ</t>
  </si>
  <si>
    <t>Tesis Adı:</t>
  </si>
  <si>
    <t>EKSAGE Gıda San. ve Tic. A.Ş. — İzmir İşleme Tesisi</t>
  </si>
  <si>
    <t>Konum / Şehir:</t>
  </si>
  <si>
    <t>İzmir / Kemalpaşa OSB</t>
  </si>
  <si>
    <t>Sektör / Faaliyet:</t>
  </si>
  <si>
    <t>Gıda — Zeytinyağı, Üzüm İşleme, Sirke (NACE 10.41 / 10.84 / 11.02)</t>
  </si>
  <si>
    <t>Toplam Alan (m²):</t>
  </si>
  <si>
    <t>Personel Sayısı (FTE):</t>
  </si>
  <si>
    <t>Rapor Yılı:</t>
  </si>
  <si>
    <t>Para Birimi:</t>
  </si>
  <si>
    <t>TL</t>
  </si>
  <si>
    <t>Hazırlayan:</t>
  </si>
  <si>
    <t>Mehmet AKSOY — Çevre Müh. / Su Verimliliği Ekip Lideri</t>
  </si>
  <si>
    <t xml:space="preserve">  AKTİF MODÜL SEÇİMİ — Tesiste var olan sistemleri işaretleyin</t>
  </si>
  <si>
    <t>Modül</t>
  </si>
  <si>
    <t>Açıklama</t>
  </si>
  <si>
    <t>Aktif?
(E/H)</t>
  </si>
  <si>
    <t>Ölçüm Tier</t>
  </si>
  <si>
    <t xml:space="preserve">    GİRİŞ KAYNAKLARI</t>
  </si>
  <si>
    <t>G1</t>
  </si>
  <si>
    <t>Şebeke / Belediye Suyu</t>
  </si>
  <si>
    <t>Ana su kaynağı</t>
  </si>
  <si>
    <t>E</t>
  </si>
  <si>
    <t>Tier 1 — Sayaç</t>
  </si>
  <si>
    <t>G2</t>
  </si>
  <si>
    <t>Kuyu / Yeraltı Suyu</t>
  </si>
  <si>
    <t>Sondaj veya kuyu</t>
  </si>
  <si>
    <t>G3</t>
  </si>
  <si>
    <t>Yağmur Suyu Geri Kazanım</t>
  </si>
  <si>
    <t>Çatı/zemin drenajı</t>
  </si>
  <si>
    <t>Tier 1 / Tier 2</t>
  </si>
  <si>
    <t>G4</t>
  </si>
  <si>
    <t>Arıtılmış Geri Besleme</t>
  </si>
  <si>
    <t>Proses geri dönüşü</t>
  </si>
  <si>
    <t>Tier 1 — Debimetre</t>
  </si>
  <si>
    <t>G5</t>
  </si>
  <si>
    <t>Satın Alınan Su (Tanker vb.)</t>
  </si>
  <si>
    <t>Harici tedarik</t>
  </si>
  <si>
    <t>H</t>
  </si>
  <si>
    <t>Tier 1 — Fatura</t>
  </si>
  <si>
    <t>G6</t>
  </si>
  <si>
    <t>Deniz Suyu / Yüzey Suyu</t>
  </si>
  <si>
    <t>Tuzlu/tatlı su alımı</t>
  </si>
  <si>
    <t xml:space="preserve">    ÇIKIŞ / KULLANIM ALANLARI</t>
  </si>
  <si>
    <t>Ç1</t>
  </si>
  <si>
    <t>Proses / Üretim Kullanımı</t>
  </si>
  <si>
    <t>Üretime giden su</t>
  </si>
  <si>
    <t>Ç2</t>
  </si>
  <si>
    <t>Soğutma Suyu (Kapalı Devre)</t>
  </si>
  <si>
    <t>HVAC, kompresör vb.</t>
  </si>
  <si>
    <t>Ç3</t>
  </si>
  <si>
    <t>Sanitasyon</t>
  </si>
  <si>
    <t>WC, duş, mutfak</t>
  </si>
  <si>
    <t>Tier 2 / Tier 3</t>
  </si>
  <si>
    <t>Ç4</t>
  </si>
  <si>
    <t>Temizlik ve Yıkama</t>
  </si>
  <si>
    <t>Zemin, ekipman</t>
  </si>
  <si>
    <t>Tier 2</t>
  </si>
  <si>
    <t>Ç5</t>
  </si>
  <si>
    <t>Gemilere / Dışarıya Satış</t>
  </si>
  <si>
    <t>Harici satış</t>
  </si>
  <si>
    <t>Ç6</t>
  </si>
  <si>
    <t>Bahçe / Peyzaj Sulama</t>
  </si>
  <si>
    <t>Açık alan sulama</t>
  </si>
  <si>
    <t xml:space="preserve">    BUHARLAŞMA KAYNAKLARI</t>
  </si>
  <si>
    <t>B1</t>
  </si>
  <si>
    <t>Açık Su Yüzeyi</t>
  </si>
  <si>
    <t>Havuz, kanal, tank</t>
  </si>
  <si>
    <t>ASHRAE Formül</t>
  </si>
  <si>
    <t>B2</t>
  </si>
  <si>
    <t>Soğutma Kulesi</t>
  </si>
  <si>
    <t>Mekanik soğutma</t>
  </si>
  <si>
    <t>B3</t>
  </si>
  <si>
    <t>Evaporative Cooler</t>
  </si>
  <si>
    <t>Buharlaşmalı soğutma</t>
  </si>
  <si>
    <t>B4</t>
  </si>
  <si>
    <t>Peyzaj ET₀</t>
  </si>
  <si>
    <t>Bitki buharlaşması</t>
  </si>
  <si>
    <t>FAO-56 / ASHRAE</t>
  </si>
  <si>
    <t>B5</t>
  </si>
  <si>
    <t>Nemlendiriciler</t>
  </si>
  <si>
    <t>HVAC nemlendirme</t>
  </si>
  <si>
    <t xml:space="preserve">    ATIK SU / DEŞARJ</t>
  </si>
  <si>
    <t>A1</t>
  </si>
  <si>
    <t>Kanalizasyon Deşarjı</t>
  </si>
  <si>
    <t>Belediye kanalizasyonu</t>
  </si>
  <si>
    <t>Tier 1 / Hesaplama</t>
  </si>
  <si>
    <t>A2</t>
  </si>
  <si>
    <t>Arıtma Sonrası Deşarj</t>
  </si>
  <si>
    <t>Arıtılmış su deşarjı</t>
  </si>
  <si>
    <t>A3</t>
  </si>
  <si>
    <t>Geri Kazanıma Gönderilen</t>
  </si>
  <si>
    <t>Tekrar kullanım</t>
  </si>
  <si>
    <t xml:space="preserve">  ÖLÇÜM TİER AÇIKLAMALARI</t>
  </si>
  <si>
    <t>Onaylı debimetre veya akış ölçer ile direkt ölçüm. En güvenilir yöntem. Hata payı: ±%2-5.</t>
  </si>
  <si>
    <t>Tier 2 — Ekipman Bazlı</t>
  </si>
  <si>
    <t>Nominal debi (datasheet) × çalışma saati (kayıt/hakediş). Hata payı: ±%10-20.</t>
  </si>
  <si>
    <t>Tier 3 — Katsayı Bazlı</t>
  </si>
  <si>
    <t>Kişi başı, alan bazlı veya endüstri katsayıları. Hata payı: ±%20-35.</t>
  </si>
  <si>
    <t>ASHRAE Handbook bazlı buharlaşma hesabı. Meteoroloji verisi gerektirir. Hata payı: ±%15-25.</t>
  </si>
  <si>
    <t>Penman-Monteith ET₀ yöntemi. Bitki tipi katsayısı ile peyzaj hesabı. Hata payı: ±%15-25.</t>
  </si>
  <si>
    <t>DENGE DENKLEMİ:  Toplam Giriş = Ölçülen Çıkış + Buharlaşma (ASHRAE) + Hesaplanan Kayıp/Fark  |  Kayıp(+): Açıklanamayan kayıp veya sızıntı  |  Kayıp(-): Ölçüm hatası veya eksik kayıt</t>
  </si>
  <si>
    <t>METEOROLOJİ VERİSİ — BUHARLAŞMA HESAPLARI İÇİN ORTAK TABAN</t>
  </si>
  <si>
    <t>ASHRAE Handbook &amp; FAO-56 Penman-Monteith  |  Tüm buharlaşma modülleri bu sekmeden beslenir  |  Yıllık aylık ortalama</t>
  </si>
  <si>
    <t xml:space="preserve">  KONUM VE REFERANS BİLGİSİ</t>
  </si>
  <si>
    <t>İzmir / Kemalpaşa</t>
  </si>
  <si>
    <t>Enlem (°N):</t>
  </si>
  <si>
    <t>Rakım (m):</t>
  </si>
  <si>
    <t>Kaynak:</t>
  </si>
  <si>
    <t>MGM uzun yıllar ortalaması</t>
  </si>
  <si>
    <t>Veri Yılı:</t>
  </si>
  <si>
    <t xml:space="preserve">  AYLIK METEOROLOJİ VERİSİ — Sarı hücreler manuel giriş</t>
  </si>
  <si>
    <t>Meteorolojik Parametre</t>
  </si>
  <si>
    <t>Yıl Ort./Top.</t>
  </si>
  <si>
    <t>Not / Kaynak</t>
  </si>
  <si>
    <t>Ort. Sıcaklık (°C)</t>
  </si>
  <si>
    <t>°C — Aylık ortalama hava sıcaklığı</t>
  </si>
  <si>
    <t>Min. Sıcaklık (°C)</t>
  </si>
  <si>
    <t>°C — Günlük min. ort. (ET₀ için)</t>
  </si>
  <si>
    <t>Maks. Sıcaklık (°C)</t>
  </si>
  <si>
    <t>°C — Günlük maks. ort. (ET₀ için)</t>
  </si>
  <si>
    <t>Bağıl Nem (%)</t>
  </si>
  <si>
    <t>% — Aylık ortalama bağıl nem</t>
  </si>
  <si>
    <t>Rüzgar Hızı (m/s)</t>
  </si>
  <si>
    <t>m/s — 2m yükseklikte ölçüm</t>
  </si>
  <si>
    <t>Güneşlenme Saati (saat/gün)</t>
  </si>
  <si>
    <t>saat/gün — Aylık ortalama</t>
  </si>
  <si>
    <t>Güneş Radyasyonu (MJ/m²/gün)</t>
  </si>
  <si>
    <t>MJ/m²/gün — Global radyasyon</t>
  </si>
  <si>
    <t>Atmosfer Basıncı (kPa)</t>
  </si>
  <si>
    <t>kPa — Deniz seviyesi düzeltmeli</t>
  </si>
  <si>
    <t>Yağış (mm/ay)</t>
  </si>
  <si>
    <t>mm/ay — Toplam aylık yağış</t>
  </si>
  <si>
    <t>Buhar Basıncı-Doymuş es (kPa)</t>
  </si>
  <si>
    <t>Gerçek Buhar Basıncı ea (kPa)</t>
  </si>
  <si>
    <t>Buhar Basıncı Açığı (kPa)</t>
  </si>
  <si>
    <t>ET₀ Referans (mm/gün)</t>
  </si>
  <si>
    <t>FAO-56 Penman-Monteith</t>
  </si>
  <si>
    <t>ET₀ Aylık (mm/ay)</t>
  </si>
  <si>
    <t>TİER 1 — SAYAÇ VERİLERİ (DİREKT ÖLÇÜM)</t>
  </si>
  <si>
    <t>Onaylı debimetre / akış ölçer okumaları  |  m³/ay  |  Hata payı: ±%2-5  |  Sarı = manuel giriş</t>
  </si>
  <si>
    <t xml:space="preserve">  GİRİŞ SAYAÇLARI — Su Kaynakları</t>
  </si>
  <si>
    <t>No</t>
  </si>
  <si>
    <t>Sayaç Noktası / Açıklama</t>
  </si>
  <si>
    <t>YIL TOPLAM</t>
  </si>
  <si>
    <t>Not</t>
  </si>
  <si>
    <t>G1-01</t>
  </si>
  <si>
    <t>Şebeke Su Sayacı — Ana Giriş</t>
  </si>
  <si>
    <t>G1-02</t>
  </si>
  <si>
    <t>Şebeke Su Sayacı — İkincil (varsa)</t>
  </si>
  <si>
    <t>G2-01</t>
  </si>
  <si>
    <t>Kuyu/Yeraltı Suyu Sayacı</t>
  </si>
  <si>
    <t>G3-01</t>
  </si>
  <si>
    <t>Yağmur Suyu Deposu Giriş Sayacı</t>
  </si>
  <si>
    <t>G4-01</t>
  </si>
  <si>
    <t>Arıtılmış Su Geri Besleme Sayacı</t>
  </si>
  <si>
    <t>G5-01</t>
  </si>
  <si>
    <t>Tanker/Satın Alınan Su (m³)</t>
  </si>
  <si>
    <t>G6-01</t>
  </si>
  <si>
    <t>Deniz Suyu / Yüzey Suyu Sayacı</t>
  </si>
  <si>
    <t>G-EK</t>
  </si>
  <si>
    <t>Ekstra Giriş Noktası 1</t>
  </si>
  <si>
    <t>G-EK2</t>
  </si>
  <si>
    <t>Ekstra Giriş Noktası 2</t>
  </si>
  <si>
    <t>TOPLAM GİRİŞ (m³/ay)</t>
  </si>
  <si>
    <t xml:space="preserve">  ÇIKIŞ / DEŞARJ SAYAÇLARI — Ölçülen Çıkışlar</t>
  </si>
  <si>
    <t>Ç1-01</t>
  </si>
  <si>
    <t>Proses Kullanımı Sayacı</t>
  </si>
  <si>
    <t>Ç2-01</t>
  </si>
  <si>
    <t>Soğutma Suyu Sayacı</t>
  </si>
  <si>
    <t>Ç3-01</t>
  </si>
  <si>
    <t>Sanitasyon Sayacı</t>
  </si>
  <si>
    <t>Ç4-01</t>
  </si>
  <si>
    <t>Temizlik/Yıkama Sayacı</t>
  </si>
  <si>
    <t>Ç5-01</t>
  </si>
  <si>
    <t>Gemilere/Dışarıya Satış Sayacı</t>
  </si>
  <si>
    <t>A1-01</t>
  </si>
  <si>
    <t>Kanalizasyon Deşarj Sayacı</t>
  </si>
  <si>
    <t>A2-01</t>
  </si>
  <si>
    <t>Arıtma Sonrası Deşarj Sayacı</t>
  </si>
  <si>
    <t>A3-01</t>
  </si>
  <si>
    <t>Geri Kazanım Debimetri</t>
  </si>
  <si>
    <t>Ç-EK</t>
  </si>
  <si>
    <t>Ekstra Çıkış Noktası 1</t>
  </si>
  <si>
    <t>TOPLAM ÖLÇÜLEN ÇIKIŞ (m³/ay)</t>
  </si>
  <si>
    <t>TİER 2 — EKİPMAN BAZLI HESAP (DEBİ × ÇALIŞMA SAATİ)</t>
  </si>
  <si>
    <t>Nominal debi (datasheet) × Aylık çalışma saati (hakediş/kayıt)  |  m³/ay  |  Hata payı: ±%10-20</t>
  </si>
  <si>
    <t xml:space="preserve">  EKİPMAN LİSTESİ VE AYLIK ÇALIŞMA SAATLERİ</t>
  </si>
  <si>
    <t>Ekip.
Kodu</t>
  </si>
  <si>
    <t>Ekipman Adı / Tanımı</t>
  </si>
  <si>
    <t>Kullanım
Alanı</t>
  </si>
  <si>
    <t>Ekipman
Tipi</t>
  </si>
  <si>
    <t>Adet</t>
  </si>
  <si>
    <t>Nominal
Debi
(m³/saat)</t>
  </si>
  <si>
    <t>±Hata
Payı %</t>
  </si>
  <si>
    <t>Oca
(saat)</t>
  </si>
  <si>
    <t>Şub
(saat)</t>
  </si>
  <si>
    <t>Mar
(saat)</t>
  </si>
  <si>
    <t>Nis
(saat)</t>
  </si>
  <si>
    <t>May
(saat)</t>
  </si>
  <si>
    <t>Haz
(saat)</t>
  </si>
  <si>
    <t>Tem
(saat)</t>
  </si>
  <si>
    <t>Ağu
(saat)</t>
  </si>
  <si>
    <t>Eyl
(saat)</t>
  </si>
  <si>
    <t>Eki
(saat)</t>
  </si>
  <si>
    <t>Kas
(saat)</t>
  </si>
  <si>
    <t>Ara
(saat)</t>
  </si>
  <si>
    <t>EK-001</t>
  </si>
  <si>
    <t>Bahçe Sulama Otomasyonu</t>
  </si>
  <si>
    <t>Peyzaj</t>
  </si>
  <si>
    <t>Sulama</t>
  </si>
  <si>
    <t>EK-002</t>
  </si>
  <si>
    <t>Zemin Yıkama/Toz Bastırma</t>
  </si>
  <si>
    <t>Diğer</t>
  </si>
  <si>
    <t>Temizlik</t>
  </si>
  <si>
    <t>EK-003</t>
  </si>
  <si>
    <t>AAT Servis Suyu</t>
  </si>
  <si>
    <t>Servis</t>
  </si>
  <si>
    <t>EK-004</t>
  </si>
  <si>
    <t>Zeytin Yıkama Tamburu</t>
  </si>
  <si>
    <t>Proses</t>
  </si>
  <si>
    <t>Yıkama</t>
  </si>
  <si>
    <t>EK-005</t>
  </si>
  <si>
    <t>3-Fazlı Dekantör</t>
  </si>
  <si>
    <t>Separasyon</t>
  </si>
  <si>
    <t>EK-006</t>
  </si>
  <si>
    <t>Üzüm Yıkama Hattı</t>
  </si>
  <si>
    <t>EK-007</t>
  </si>
  <si>
    <t>Fermantasyon CIP</t>
  </si>
  <si>
    <t>CIP</t>
  </si>
  <si>
    <t>EK-008</t>
  </si>
  <si>
    <t>Sirke Üretim Ünitesi</t>
  </si>
  <si>
    <t>Fermant.</t>
  </si>
  <si>
    <t>EK-009</t>
  </si>
  <si>
    <t>Buhar Kazanı (4 ton/h)</t>
  </si>
  <si>
    <t>Yardımcı</t>
  </si>
  <si>
    <t>Buhar</t>
  </si>
  <si>
    <t>EK-010</t>
  </si>
  <si>
    <t>Soğutma</t>
  </si>
  <si>
    <t>EK-011</t>
  </si>
  <si>
    <t>CIP Merkezi Sistem</t>
  </si>
  <si>
    <t>EK-012</t>
  </si>
  <si>
    <t>Su Yumuşatma Ünitesi</t>
  </si>
  <si>
    <t>Arıtma</t>
  </si>
  <si>
    <t>EK-013</t>
  </si>
  <si>
    <t>Basınçlı Yıkama Makinesi</t>
  </si>
  <si>
    <t>EK-014</t>
  </si>
  <si>
    <t>Evsel Tesisat</t>
  </si>
  <si>
    <t>Tesisat</t>
  </si>
  <si>
    <t>EK-015</t>
  </si>
  <si>
    <t>AAT Servis + Yangın</t>
  </si>
  <si>
    <t>EK-016</t>
  </si>
  <si>
    <t>Yemekhane Bulaşık Mak.</t>
  </si>
  <si>
    <t>EK-017</t>
  </si>
  <si>
    <t>Geri Kazanım Hattı</t>
  </si>
  <si>
    <t>Geri Kaz.</t>
  </si>
  <si>
    <t>Debimetre</t>
  </si>
  <si>
    <t>EK-018</t>
  </si>
  <si>
    <t>EK-019</t>
  </si>
  <si>
    <t>EK-020</t>
  </si>
  <si>
    <t xml:space="preserve">  HESAPLANAN AYLIK SU TÜKETİMİ (m³) = Debi × Çalışma Saati × Adet</t>
  </si>
  <si>
    <t>Oca
(m³)</t>
  </si>
  <si>
    <t>Şub
(m³)</t>
  </si>
  <si>
    <t>Mar
(m³)</t>
  </si>
  <si>
    <t>Nis
(m³)</t>
  </si>
  <si>
    <t>May
(m³)</t>
  </si>
  <si>
    <t>Haz
(m³)</t>
  </si>
  <si>
    <t>Tem
(m³)</t>
  </si>
  <si>
    <t>Ağu
(m³)</t>
  </si>
  <si>
    <t>Eyl
(m³)</t>
  </si>
  <si>
    <t>Eki
(m³)</t>
  </si>
  <si>
    <t>Kas
(m³)</t>
  </si>
  <si>
    <t>Ara
(m³)</t>
  </si>
  <si>
    <t>TOPLAM EKİPMAN BAZLI TÜKETİM (m³/ay)</t>
  </si>
  <si>
    <t>BUHARLAŞMA HESABI — ASHRAE &amp; FAO-56 STANDARTLARI</t>
  </si>
  <si>
    <t>Açık Yüzey | Soğutma Kulesi | Evaporative Cooler | Peyzaj ET₀ | Nemlendirici  |  Meteoroloji sekmesinden otomatik beslenir</t>
  </si>
  <si>
    <t xml:space="preserve">  MODÜL A — AÇIK SU YÜZEYİ BUHARLAŞMASI (ASHRAE Handbook)</t>
  </si>
  <si>
    <t>ASHRAE Formülü: E = A × (0.253 − 0.051×V) × (Pw − Pa)  |  E=buharlaşma (kg/s), A=yüzey alanı (m²), V=rüzgar hızı (m/s), Pw=doymuş buhar basıncı (kPa), Pa=gerçek buhar basıncı (kPa)</t>
  </si>
  <si>
    <t>Sistem/Havuz Adı:</t>
  </si>
  <si>
    <t>(Kullanılmıyor — kapalı havuz)</t>
  </si>
  <si>
    <t>Su Yüzey Alanı (m²):</t>
  </si>
  <si>
    <t>Ortalama Su Sıcaklığı Düzeltmesi (°C):</t>
  </si>
  <si>
    <t>0 = hava sıcaklığını kullan</t>
  </si>
  <si>
    <t>Hesap Parametresi</t>
  </si>
  <si>
    <t>TOPLAM</t>
  </si>
  <si>
    <t>Pw — Doymuş Buhar Basıncı (kPa)</t>
  </si>
  <si>
    <t>Pa — Gerçek Buhar Basıncı (kPa)</t>
  </si>
  <si>
    <t>V — Rüzgar Hızı (m/s)</t>
  </si>
  <si>
    <t>E — Buharlaşma Hızı (kg/s)</t>
  </si>
  <si>
    <t>Buharlaşma (m³/ay) — Açık Yüzey</t>
  </si>
  <si>
    <t xml:space="preserve">  MODÜL B — SOĞUTMA KULESİ BUHARLAŞMASI (ASHRAE)</t>
  </si>
  <si>
    <t>Buharlaşma ≈ %1,5 × Sirkülasyon Debisi  |  Blowdown = Buharlaşma ÷ (CoC−1)  |  Drift = %0.002 × Sirkülasyon  |  TOPLAM = Buharlaşma + Blowdown + Drift</t>
  </si>
  <si>
    <t>Sirkülasyon Debisi (m³/saat)</t>
  </si>
  <si>
    <t>Konsantrasyon Oranı CoC (1.5-6)</t>
  </si>
  <si>
    <t>Buharlaşma Oranı (% = %1.5 varsayılan)</t>
  </si>
  <si>
    <t>Drift Oranı (% = %0.002 varsayılan)</t>
  </si>
  <si>
    <t>Aylık Çalışma Saati:</t>
  </si>
  <si>
    <t>Hesaplama</t>
  </si>
  <si>
    <t>Sirkülasyon (m³/ay)</t>
  </si>
  <si>
    <t>Buharlaşma (m³/ay)</t>
  </si>
  <si>
    <t>Blowdown (m³/ay)</t>
  </si>
  <si>
    <t>Drift Kaybı (m³/ay)</t>
  </si>
  <si>
    <t>TOPLAM SOĞUTMA KULESİ SU KAYBI (m³/ay)</t>
  </si>
  <si>
    <t xml:space="preserve">  MODÜL C — PEYZAJ / SULAMA BUHARLAŞMASI (FAO-56 ETc = Kc × ET₀)</t>
  </si>
  <si>
    <t>ETc (mm/ay) = Kc × ET₀  |  Su İhtiyacı (m³/ay) = ETc × Alan / 1000  |  Kc: çimen≈0.85, ağaç≈0.7-1.0, sebze≈1.0-1.15</t>
  </si>
  <si>
    <t>Sulanan Alan (m²):</t>
  </si>
  <si>
    <t>Bitki Türü:</t>
  </si>
  <si>
    <t>Çimen + Zeytin ağacı</t>
  </si>
  <si>
    <t>Kc Katsayısı:</t>
  </si>
  <si>
    <t>Sulama Verimliliği (%):</t>
  </si>
  <si>
    <t>ETc (mm/ay) = Kc × ET₀</t>
  </si>
  <si>
    <t>Su İhtiyacı Brüt (m³/ay)</t>
  </si>
  <si>
    <t>Net Su İhtiyacı (m³/ay) — Sulama Verimliliği Düzeltmeli</t>
  </si>
  <si>
    <t xml:space="preserve">  MODÜL D — EVAPORATİVE COOLER / NEMLENDİRİCİ</t>
  </si>
  <si>
    <t>Buharlaşma (m³/ay) = Kapasite (m³/saat) × Verimlilik × Çalışma Saati  |  Maksimum buharlaşma: doymuş hava akışı × ΔW × yoğunluk</t>
  </si>
  <si>
    <t>Hava Debisi (m³/saat):</t>
  </si>
  <si>
    <t>Buharlaşma Verimliliği (%):</t>
  </si>
  <si>
    <t>Evaporative Cooler Buharlaşma (m³/ay)</t>
  </si>
  <si>
    <t xml:space="preserve">  TOPLAM BUHARLAŞMA ÖZETİ — Tüm Modüller</t>
  </si>
  <si>
    <t>Buharlaşma Kalemi</t>
  </si>
  <si>
    <t>A — Açık Yüzey Buharlaşması (m³/ay)</t>
  </si>
  <si>
    <t>B — Soğutma Kulesi Toplam Kaybı (m³/ay)</t>
  </si>
  <si>
    <t>C — Peyzaj / ET₀ Su İhtiyacı (m³/ay)</t>
  </si>
  <si>
    <t>D — Evaporative Cooler (m³/ay)</t>
  </si>
  <si>
    <t>TOPLAM BUHARLAŞMA (m³/ay)</t>
  </si>
  <si>
    <t>SU KÜtle DENGESİ TABLOSU — GİRİŞ = ÇIKIŞ + BUHARLAŞMA + KAYIP</t>
  </si>
  <si>
    <t>ISO 46001:2019 Md. 6.2  |  Su Kullanımı &amp; Su Tüketimi  |  Tüm sekmelerden otomatik beslenir</t>
  </si>
  <si>
    <t>Denge Kalemi</t>
  </si>
  <si>
    <t>Tier</t>
  </si>
  <si>
    <t xml:space="preserve">  A. TOPLAM SU GİRİŞİ</t>
  </si>
  <si>
    <t>Sayaç (Tier 1) — Tüm Giriş Sayaçları</t>
  </si>
  <si>
    <t>T1</t>
  </si>
  <si>
    <t>Ekipman Bazlı (Tier 2) — Giriş Tarafı</t>
  </si>
  <si>
    <t>T2</t>
  </si>
  <si>
    <t>Tahmin Bazlı (Tier 3) — Katsayı</t>
  </si>
  <si>
    <t>T3</t>
  </si>
  <si>
    <t>TOPLAM SU GİRİŞİ (m³/ay)</t>
  </si>
  <si>
    <t xml:space="preserve">  B. ÖLÇÜLEN / HESAPLANAN ÇIKIŞ VE KULLANIM</t>
  </si>
  <si>
    <t>Sayaç (Tier 1) — Tüm Çıkış Sayaçları</t>
  </si>
  <si>
    <t>Ekipman Bazlı (Tier 2) — Kullanım</t>
  </si>
  <si>
    <t>TOPLAM ÖLÇÜLEN/HESAPLANAN ÇIKIŞ (m³/ay)</t>
  </si>
  <si>
    <t xml:space="preserve">  C. ASHRAE BUHARLAŞMA KAYIPLARI</t>
  </si>
  <si>
    <t>Açık Yüzey Buharlaşması (ASHRAE)</t>
  </si>
  <si>
    <t>ASHRAE</t>
  </si>
  <si>
    <t>Soğutma Kulesi Toplam Kaybı (ASHRAE)</t>
  </si>
  <si>
    <t>Peyzaj ET₀ Su İhtiyacı (FAO-56)</t>
  </si>
  <si>
    <t>FAO-56</t>
  </si>
  <si>
    <t>Evaporative Cooler (ASHRAE)</t>
  </si>
  <si>
    <t xml:space="preserve">  D. DENGE KONTROLÜ</t>
  </si>
  <si>
    <t>FARK = Giriş − Çıkış − Buharlaşma  |  (+)=Açıklanamayan kayıp/sızıntı  |  (-)=Ölçüm hatası</t>
  </si>
  <si>
    <t>Açıklanamayan Kayıp / Fark (m³/ay)</t>
  </si>
  <si>
    <t>Fark % (Giriş'e Oranla)</t>
  </si>
  <si>
    <t xml:space="preserve">  E. ISO 46001 — SU KULLANIMI VE SU TÜKETİMİ</t>
  </si>
  <si>
    <t>Su Kullanımı = Toplam Giriş  |  Su Tüketimi = Giriş − Geri Kazanılan  |  Su Tüketimi = Buharlaşma + Açıklanamayan Kayıp + Geri Kazanılmayan Kullanım</t>
  </si>
  <si>
    <t>Su Kullanımı (Water Use) — m³/ay</t>
  </si>
  <si>
    <t>ISO 46001</t>
  </si>
  <si>
    <t>Geri Kazanılan Su — m³/ay</t>
  </si>
  <si>
    <t>Su Tüketimi (Water Consumption) — m³/ay</t>
  </si>
  <si>
    <t>Buharlaşma (Açıklanan Tüketim) — m³/ay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</si>
</sst>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#,##0.0"/>
    <numFmt numFmtId="166" formatCode="0.0%"/>
  </numFmts>
  <fonts count="31" x14ac:knownFonts="1">
    <font>
      <sz val="11"/>
      <color theme="1"/>
      <name val="Calibri"/>
      <family val="2"/>
      <charset val="1"/>
    </font>
    <font>
      <b/>
      <sz val="12"/>
      <color rgb="FFFFFFFF"/>
      <name val="Calibri"/>
      <family val="2"/>
    </font>
    <font>
      <b/>
      <sz val="8"/>
      <color rgb="FFFFFFFF"/>
      <name val="Calibri"/>
      <family val="2"/>
    </font>
    <font>
      <b/>
      <sz val="9"/>
      <color rgb="FFFFFFFF"/>
      <name val="Calibri"/>
      <family val="2"/>
    </font>
    <font>
      <b/>
      <sz val="9"/>
      <color rgb="FF003366"/>
      <name val="Calibri"/>
      <family val="2"/>
    </font>
    <font>
      <sz val="9"/>
      <color rgb="FF000000"/>
      <name val="Calibri"/>
      <family val="2"/>
    </font>
    <font>
      <i/>
      <sz val="9"/>
      <color rgb="FF5A6A7A"/>
      <name val="Calibri"/>
      <family val="2"/>
    </font>
    <font>
      <i/>
      <sz val="8"/>
      <color rgb="FF5A6A7A"/>
      <name val="Calibri"/>
      <family val="2"/>
    </font>
    <font>
      <b/>
      <sz val="10"/>
      <color rgb="FFFFFFFF"/>
      <name val="Calibri"/>
      <family val="2"/>
    </font>
    <font>
      <sz val="9"/>
      <color rgb="FF5A6A7A"/>
      <name val="Calibri"/>
      <family val="2"/>
    </font>
    <font>
      <sz val="11"/>
      <color rgb="FFFFFFFF"/>
      <name val="Calibri"/>
      <family val="2"/>
      <charset val="1"/>
    </font>
    <font>
      <b/>
      <sz val="9"/>
      <color rgb="FF0D2B4B"/>
      <name val="Calibri"/>
      <family val="2"/>
    </font>
    <font>
      <sz val="11"/>
      <color rgb="FF0D2B4B"/>
      <name val="Calibri"/>
      <family val="2"/>
      <charset val="1"/>
    </font>
    <font>
      <b/>
      <sz val="9"/>
      <color rgb="FF00838F"/>
      <name val="Calibri"/>
      <family val="2"/>
    </font>
    <font>
      <b/>
      <sz val="9"/>
      <color rgb="FFC17900"/>
      <name val="Calibri"/>
      <family val="2"/>
    </font>
    <font>
      <sz val="9"/>
      <color rgb="FF00838F"/>
      <name val="Calibri"/>
      <family val="2"/>
    </font>
    <font>
      <i/>
      <sz val="8"/>
      <color rgb="FF546E7A"/>
      <name val="Calibri"/>
      <family val="2"/>
    </font>
    <font>
      <b/>
      <sz val="9"/>
      <color rgb="FF0D3B66"/>
      <name val="Calibri"/>
      <family val="2"/>
    </font>
    <font>
      <b/>
      <sz val="9"/>
      <color rgb="FF2E7D32"/>
      <name val="Calibri"/>
      <family val="2"/>
    </font>
    <font>
      <sz val="9"/>
      <color rgb="FF0D2B4B"/>
      <name val="Calibri"/>
      <family val="2"/>
    </font>
    <font>
      <i/>
      <sz val="8"/>
      <color rgb="FF00838F"/>
      <name val="Calibri"/>
      <family val="2"/>
    </font>
    <font>
      <i/>
      <sz val="8"/>
      <color rgb="FF2E7D32"/>
      <name val="Calibri"/>
      <family val="2"/>
    </font>
    <font>
      <sz val="9"/>
      <color rgb="FF2E7D32"/>
      <name val="Calibri"/>
      <family val="2"/>
    </font>
    <font>
      <i/>
      <sz val="8"/>
      <color rgb="FFC17900"/>
      <name val="Calibri"/>
      <family val="2"/>
    </font>
    <font>
      <sz val="9"/>
      <color rgb="FFC17900"/>
      <name val="Calibri"/>
      <family val="2"/>
    </font>
    <font>
      <sz val="9"/>
      <color rgb="FF0D3B66"/>
      <name val="Calibri"/>
      <family val="2"/>
    </font>
    <font>
      <b/>
      <sz val="9"/>
      <color rgb="FF546E7A"/>
      <name val="Calibri"/>
      <family val="2"/>
    </font>
    <font>
      <sz val="9"/>
      <color rgb="FF546E7A"/>
      <name val="Calibri"/>
      <family val="2"/>
    </font>
    <font>
      <b/>
      <sz val="10"/>
      <color rgb="FFC17900"/>
      <name val="Calibri"/>
      <family val="2"/>
    </font>
    <font>
      <b/>
      <sz val="24"/>
      <color rgb="FF0D2B4B"/>
      <name val="Calibri"/>
      <family val="2"/>
    </font>
    <font>
      <i/>
      <sz val="7"/>
      <color rgb="FF546E7A"/>
      <name val="Calibri"/>
      <family val="2"/>
    </font>
  </fonts>
  <fills count="24">
    <fill>
      <patternFill patternType="none"/>
    </fill>
    <fill>
      <patternFill patternType="gray125"/>
    </fill>
    <fill>
      <patternFill patternType="solid">
        <fgColor rgb="FF003366"/>
        <bgColor rgb="FF1F3864"/>
      </patternFill>
    </fill>
    <fill>
      <patternFill patternType="solid">
        <fgColor rgb="FF00698B"/>
        <bgColor rgb="FF006B6B"/>
      </patternFill>
    </fill>
    <fill>
      <patternFill patternType="solid">
        <fgColor rgb="FFF2F6FA"/>
        <bgColor rgb="FFEEF5FF"/>
      </patternFill>
    </fill>
    <fill>
      <patternFill patternType="solid">
        <fgColor rgb="FF374151"/>
        <bgColor rgb="FF1F3864"/>
      </patternFill>
    </fill>
    <fill>
      <patternFill patternType="solid">
        <fgColor rgb="FFFFFFFF"/>
        <bgColor rgb="FFF9F9F9"/>
      </patternFill>
    </fill>
    <fill>
      <patternFill patternType="solid">
        <fgColor rgb="FF006B6B"/>
        <bgColor rgb="FF00698B"/>
      </patternFill>
    </fill>
    <fill>
      <patternFill patternType="solid">
        <fgColor rgb="FFFFF2CC"/>
        <bgColor rgb="FFFFFFC0"/>
      </patternFill>
    </fill>
    <fill>
      <patternFill patternType="solid">
        <fgColor rgb="FF0D2B4B"/>
        <bgColor indexed="64"/>
      </patternFill>
    </fill>
    <fill>
      <patternFill patternType="solid">
        <fgColor rgb="FF00838F"/>
        <bgColor indexed="64"/>
      </patternFill>
    </fill>
    <fill>
      <patternFill patternType="solid">
        <fgColor rgb="FF37474F"/>
        <bgColor indexed="64"/>
      </patternFill>
    </fill>
    <fill>
      <patternFill patternType="solid">
        <fgColor rgb="FFECEFF1"/>
        <bgColor indexed="64"/>
      </patternFill>
    </fill>
    <fill>
      <patternFill patternType="solid">
        <fgColor rgb="FFFFFDE7"/>
        <bgColor indexed="64"/>
      </patternFill>
    </fill>
    <fill>
      <patternFill patternType="solid">
        <fgColor rgb="FFE8F0F8"/>
        <bgColor indexed="64"/>
      </patternFill>
    </fill>
    <fill>
      <patternFill patternType="solid">
        <fgColor rgb="FFE0F7FA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3E0"/>
        <bgColor indexed="64"/>
      </patternFill>
    </fill>
    <fill>
      <patternFill patternType="solid">
        <fgColor rgb="FF0D3B66"/>
        <bgColor indexed="64"/>
      </patternFill>
    </fill>
    <fill>
      <patternFill patternType="solid">
        <fgColor rgb="FFE1EDF8"/>
        <bgColor indexed="64"/>
      </patternFill>
    </fill>
    <fill>
      <patternFill patternType="solid">
        <fgColor rgb="FF2E7D32"/>
        <bgColor indexed="64"/>
      </patternFill>
    </fill>
    <fill>
      <patternFill patternType="solid">
        <fgColor rgb="FFE8F5E9"/>
        <bgColor indexed="64"/>
      </patternFill>
    </fill>
    <fill>
      <patternFill patternType="solid">
        <fgColor rgb="FFC17900"/>
        <bgColor indexed="64"/>
      </patternFill>
    </fill>
    <fill>
      <patternFill patternType="solid">
        <fgColor rgb="FFF1F8E9"/>
        <bgColor indexed="64"/>
      </patternFill>
    </fill>
  </fills>
  <borders count="124">
    <border>
      <left/>
      <right/>
      <top/>
      <bottom/>
      <diagonal/>
    </border>
    <border>
      <left style="medium">
        <color rgb="FF003366"/>
      </left>
      <right style="medium">
        <color rgb="FF003366"/>
      </right>
      <top style="medium">
        <color rgb="FF003366"/>
      </top>
      <bottom style="medium">
        <color rgb="FF003366"/>
      </bottom>
      <diagonal/>
    </border>
    <border>
      <left style="thin">
        <color rgb="FF00698B"/>
      </left>
      <right style="thin">
        <color rgb="FF00698B"/>
      </right>
      <top style="thin">
        <color rgb="FF00698B"/>
      </top>
      <bottom style="thin">
        <color rgb="FF00698B"/>
      </bottom>
      <diagonal/>
    </border>
    <border>
      <left style="thin">
        <color rgb="FF003366"/>
      </left>
      <right style="thin">
        <color rgb="FF003366"/>
      </right>
      <top style="thin">
        <color rgb="FF003366"/>
      </top>
      <bottom style="thin">
        <color rgb="FF003366"/>
      </bottom>
      <diagonal/>
    </border>
    <border>
      <left style="thin">
        <color rgb="FFB0C4D8"/>
      </left>
      <right style="thin">
        <color rgb="FFB0C4D8"/>
      </right>
      <top style="thin">
        <color rgb="FFB0C4D8"/>
      </top>
      <bottom style="thin">
        <color rgb="FFB0C4D8"/>
      </bottom>
      <diagonal/>
    </border>
    <border>
      <left style="thin">
        <color rgb="FFB0C4D8"/>
      </left>
      <right/>
      <top style="thin">
        <color rgb="FFB0C4D8"/>
      </top>
      <bottom style="thin">
        <color rgb="FFB0C4D8"/>
      </bottom>
      <diagonal/>
    </border>
    <border>
      <left style="thin">
        <color rgb="FF8AACCC"/>
      </left>
      <right style="thin">
        <color rgb="FF8AACCC"/>
      </right>
      <top style="thin">
        <color rgb="FF8AACCC"/>
      </top>
      <bottom style="thin">
        <color rgb="FF8AACCC"/>
      </bottom>
      <diagonal/>
    </border>
    <border>
      <left style="thin">
        <color rgb="FF374151"/>
      </left>
      <right style="thin">
        <color rgb="FF374151"/>
      </right>
      <top style="thin">
        <color rgb="FF374151"/>
      </top>
      <bottom style="thin">
        <color rgb="FF374151"/>
      </bottom>
      <diagonal/>
    </border>
    <border>
      <left style="thin">
        <color rgb="FF006B6B"/>
      </left>
      <right style="thin">
        <color rgb="FF006B6B"/>
      </right>
      <top style="thin">
        <color rgb="FF006B6B"/>
      </top>
      <bottom style="thin">
        <color rgb="FF006B6B"/>
      </bottom>
      <diagonal/>
    </border>
    <border>
      <left style="thin">
        <color rgb="FF7F6000"/>
      </left>
      <right style="thin">
        <color rgb="FF7F6000"/>
      </right>
      <top style="thin">
        <color rgb="FF7F6000"/>
      </top>
      <bottom style="thin">
        <color rgb="FF7F6000"/>
      </bottom>
      <diagonal/>
    </border>
    <border>
      <left/>
      <right style="medium">
        <color rgb="FF003366"/>
      </right>
      <top style="medium">
        <color rgb="FF003366"/>
      </top>
      <bottom style="medium">
        <color rgb="FF003366"/>
      </bottom>
      <diagonal/>
    </border>
    <border>
      <left style="medium">
        <color rgb="FF003366"/>
      </left>
      <right style="medium">
        <color rgb="FF003366"/>
      </right>
      <top style="medium">
        <color rgb="FF0D2B4B"/>
      </top>
      <bottom style="medium">
        <color rgb="FF0D2B4B"/>
      </bottom>
      <diagonal/>
    </border>
    <border>
      <left/>
      <right style="thin">
        <color rgb="FF00698B"/>
      </right>
      <top style="thin">
        <color rgb="FF00698B"/>
      </top>
      <bottom style="thin">
        <color rgb="FF00698B"/>
      </bottom>
      <diagonal/>
    </border>
    <border>
      <left style="medium">
        <color rgb="FF0D2B4B"/>
      </left>
      <right style="medium">
        <color rgb="FF003366"/>
      </right>
      <top style="medium">
        <color rgb="FF0D2B4B"/>
      </top>
      <bottom/>
      <diagonal/>
    </border>
    <border>
      <left style="medium">
        <color rgb="FF003366"/>
      </left>
      <right style="medium">
        <color rgb="FF003366"/>
      </right>
      <top style="medium">
        <color rgb="FF0D2B4B"/>
      </top>
      <bottom/>
      <diagonal/>
    </border>
    <border>
      <left style="medium">
        <color rgb="FF003366"/>
      </left>
      <right style="medium">
        <color rgb="FF0D2B4B"/>
      </right>
      <top style="medium">
        <color rgb="FF0D2B4B"/>
      </top>
      <bottom/>
      <diagonal/>
    </border>
    <border>
      <left style="thin">
        <color rgb="FF00838F"/>
      </left>
      <right style="thin">
        <color rgb="FF00698B"/>
      </right>
      <top style="medium">
        <color rgb="FF0D2B4B"/>
      </top>
      <bottom/>
      <diagonal/>
    </border>
    <border>
      <left style="thin">
        <color rgb="FF00698B"/>
      </left>
      <right style="thin">
        <color rgb="FF00698B"/>
      </right>
      <top style="medium">
        <color rgb="FF0D2B4B"/>
      </top>
      <bottom/>
      <diagonal/>
    </border>
    <border>
      <left style="thin">
        <color rgb="FF00698B"/>
      </left>
      <right style="thin">
        <color rgb="FF00838F"/>
      </right>
      <top style="medium">
        <color rgb="FF0D2B4B"/>
      </top>
      <bottom/>
      <diagonal/>
    </border>
    <border>
      <left/>
      <right style="thin">
        <color rgb="FF003366"/>
      </right>
      <top style="thin">
        <color rgb="FF003366"/>
      </top>
      <bottom style="thin">
        <color rgb="FF003366"/>
      </bottom>
      <diagonal/>
    </border>
    <border>
      <left/>
      <right/>
      <top style="thin">
        <color rgb="FF00838F"/>
      </top>
      <bottom/>
      <diagonal/>
    </border>
    <border>
      <left style="thin">
        <color rgb="FFB0C4D8"/>
      </left>
      <right style="thin">
        <color rgb="FFB0C4D8"/>
      </right>
      <top/>
      <bottom style="thin">
        <color rgb="FFB0C4D8"/>
      </bottom>
      <diagonal/>
    </border>
    <border>
      <left style="thin">
        <color rgb="FFB0C4D8"/>
      </left>
      <right/>
      <top/>
      <bottom style="thin">
        <color rgb="FFB0C4D8"/>
      </bottom>
      <diagonal/>
    </border>
    <border>
      <left style="thin">
        <color rgb="FF003366"/>
      </left>
      <right style="thin">
        <color rgb="FF003366"/>
      </right>
      <top style="thin">
        <color rgb="FF0D2B4B"/>
      </top>
      <bottom style="thin">
        <color rgb="FF0D2B4B"/>
      </bottom>
      <diagonal/>
    </border>
    <border>
      <left style="thin">
        <color rgb="FF003366"/>
      </left>
      <right style="thin">
        <color rgb="FF0D2B4B"/>
      </right>
      <top style="thin">
        <color rgb="FF0D2B4B"/>
      </top>
      <bottom style="thin">
        <color rgb="FF0D2B4B"/>
      </bottom>
      <diagonal/>
    </border>
    <border>
      <left style="thin">
        <color rgb="FF8AACCC"/>
      </left>
      <right style="thin">
        <color rgb="FF8AACCC"/>
      </right>
      <top/>
      <bottom style="thin">
        <color rgb="FF8AACCC"/>
      </bottom>
      <diagonal/>
    </border>
    <border>
      <left style="thin">
        <color rgb="FF0D2B4B"/>
      </left>
      <right style="thin">
        <color rgb="FF003366"/>
      </right>
      <top style="thin">
        <color rgb="FF0D2B4B"/>
      </top>
      <bottom/>
      <diagonal/>
    </border>
    <border>
      <left style="thin">
        <color rgb="FF003366"/>
      </left>
      <right style="thin">
        <color rgb="FF003366"/>
      </right>
      <top style="thin">
        <color rgb="FF0D2B4B"/>
      </top>
      <bottom/>
      <diagonal/>
    </border>
    <border>
      <left/>
      <right style="thin">
        <color rgb="FF374151"/>
      </right>
      <top style="thin">
        <color rgb="FF374151"/>
      </top>
      <bottom style="thin">
        <color rgb="FF374151"/>
      </bottom>
      <diagonal/>
    </border>
    <border>
      <left style="thin">
        <color rgb="FF8AACCC"/>
      </left>
      <right style="thin">
        <color rgb="FF8AACCC"/>
      </right>
      <top style="thin">
        <color rgb="FF0D2B4B"/>
      </top>
      <bottom/>
      <diagonal/>
    </border>
    <border>
      <left style="thin">
        <color rgb="FF374151"/>
      </left>
      <right style="thin">
        <color rgb="FF374151"/>
      </right>
      <top style="thin">
        <color rgb="FF37474F"/>
      </top>
      <bottom style="thin">
        <color rgb="FF37474F"/>
      </bottom>
      <diagonal/>
    </border>
    <border>
      <left style="thin">
        <color rgb="FFB0C4D8"/>
      </left>
      <right style="thin">
        <color rgb="FFB0C4D8"/>
      </right>
      <top style="thin">
        <color rgb="FFB0C4D8"/>
      </top>
      <bottom/>
      <diagonal/>
    </border>
    <border>
      <left/>
      <right style="thin">
        <color rgb="FF006B6B"/>
      </right>
      <top style="thin">
        <color rgb="FF006B6B"/>
      </top>
      <bottom style="thin">
        <color rgb="FF006B6B"/>
      </bottom>
      <diagonal/>
    </border>
    <border>
      <left style="thin">
        <color rgb="FF006B6B"/>
      </left>
      <right style="thin">
        <color rgb="FF006B6B"/>
      </right>
      <top style="thin">
        <color rgb="FF00838F"/>
      </top>
      <bottom style="thin">
        <color rgb="FF006B6B"/>
      </bottom>
      <diagonal/>
    </border>
    <border>
      <left style="thin">
        <color rgb="FF006B6B"/>
      </left>
      <right style="thin">
        <color rgb="FF006B6B"/>
      </right>
      <top style="thin">
        <color rgb="FF00838F"/>
      </top>
      <bottom style="thin">
        <color rgb="FF00838F"/>
      </bottom>
      <diagonal/>
    </border>
    <border>
      <left style="thin">
        <color rgb="FF006B6B"/>
      </left>
      <right style="thin">
        <color rgb="FF006B6B"/>
      </right>
      <top/>
      <bottom style="thin">
        <color rgb="FF00838F"/>
      </bottom>
      <diagonal/>
    </border>
    <border>
      <left/>
      <right/>
      <top/>
      <bottom style="thin">
        <color rgb="FF00838F"/>
      </bottom>
      <diagonal/>
    </border>
    <border>
      <left/>
      <right style="thin">
        <color rgb="FF7F6000"/>
      </right>
      <top style="thin">
        <color rgb="FF7F6000"/>
      </top>
      <bottom style="thin">
        <color rgb="FF7F6000"/>
      </bottom>
      <diagonal/>
    </border>
    <border>
      <left style="thin">
        <color rgb="FFB0C4D8"/>
      </left>
      <right/>
      <top style="thin">
        <color rgb="FFB0C4D8"/>
      </top>
      <bottom/>
      <diagonal/>
    </border>
    <border>
      <left style="thin">
        <color rgb="FF7F6000"/>
      </left>
      <right style="thin">
        <color rgb="FF7F6000"/>
      </right>
      <top/>
      <bottom style="thin">
        <color rgb="FFC17900"/>
      </bottom>
      <diagonal/>
    </border>
    <border>
      <left/>
      <right/>
      <top/>
      <bottom style="thin">
        <color rgb="FFC17900"/>
      </bottom>
      <diagonal/>
    </border>
    <border>
      <left/>
      <right/>
      <top/>
      <bottom style="thin">
        <color rgb="FFB0C4D8"/>
      </bottom>
      <diagonal/>
    </border>
    <border>
      <left style="thin">
        <color rgb="FFB0C4D8"/>
      </left>
      <right style="thin">
        <color rgb="FFB0BEC5"/>
      </right>
      <top style="thin">
        <color rgb="FFB0BEC5"/>
      </top>
      <bottom style="thin">
        <color rgb="FFB0C4D8"/>
      </bottom>
      <diagonal/>
    </border>
    <border>
      <left style="thin">
        <color rgb="FFB0BEC5"/>
      </left>
      <right style="thin">
        <color rgb="FFB0BEC5"/>
      </right>
      <top style="thin">
        <color rgb="FFB0BEC5"/>
      </top>
      <bottom style="thin">
        <color rgb="FFB0C4D8"/>
      </bottom>
      <diagonal/>
    </border>
    <border>
      <left style="thin">
        <color rgb="FFB0BEC5"/>
      </left>
      <right style="thin">
        <color rgb="FFB0C4D8"/>
      </right>
      <top style="thin">
        <color rgb="FFB0BEC5"/>
      </top>
      <bottom style="thin">
        <color rgb="FFB0C4D8"/>
      </bottom>
      <diagonal/>
    </border>
    <border>
      <left style="thin">
        <color rgb="FFB0C4D8"/>
      </left>
      <right style="thin">
        <color rgb="FFB0BEC5"/>
      </right>
      <top style="thin">
        <color rgb="FFB0BEC5"/>
      </top>
      <bottom style="thin">
        <color rgb="FFB0BEC5"/>
      </bottom>
      <diagonal/>
    </border>
    <border>
      <left style="thin">
        <color rgb="FFB0BEC5"/>
      </left>
      <right style="thin">
        <color rgb="FFB0BEC5"/>
      </right>
      <top style="thin">
        <color rgb="FFB0BEC5"/>
      </top>
      <bottom style="thin">
        <color rgb="FFB0BEC5"/>
      </bottom>
      <diagonal/>
    </border>
    <border>
      <left style="thin">
        <color rgb="FFB0BEC5"/>
      </left>
      <right style="thin">
        <color rgb="FFB0C4D8"/>
      </right>
      <top style="thin">
        <color rgb="FFB0BEC5"/>
      </top>
      <bottom style="thin">
        <color rgb="FFB0BEC5"/>
      </bottom>
      <diagonal/>
    </border>
    <border>
      <left/>
      <right/>
      <top style="thin">
        <color rgb="FFB0C4D8"/>
      </top>
      <bottom style="thin">
        <color rgb="FFB0C4D8"/>
      </bottom>
      <diagonal/>
    </border>
    <border>
      <left style="thin">
        <color rgb="FFB0BEC5"/>
      </left>
      <right style="thin">
        <color rgb="FFB0BEC5"/>
      </right>
      <top style="thin">
        <color rgb="FFB0BEC5"/>
      </top>
      <bottom/>
      <diagonal/>
    </border>
    <border>
      <left style="thin">
        <color rgb="FF374151"/>
      </left>
      <right style="thin">
        <color rgb="FF374151"/>
      </right>
      <top style="thin">
        <color rgb="FF37474F"/>
      </top>
      <bottom/>
      <diagonal/>
    </border>
    <border>
      <left style="thin">
        <color rgb="FF374151"/>
      </left>
      <right style="thin">
        <color rgb="FF374151"/>
      </right>
      <top/>
      <bottom/>
      <diagonal/>
    </border>
    <border>
      <left/>
      <right/>
      <top style="thin">
        <color rgb="FFB0C4D8"/>
      </top>
      <bottom/>
      <diagonal/>
    </border>
    <border>
      <left style="thin">
        <color rgb="FF006B6B"/>
      </left>
      <right style="thin">
        <color rgb="FF006B6B"/>
      </right>
      <top/>
      <bottom/>
      <diagonal/>
    </border>
    <border>
      <left style="thin">
        <color rgb="FFB0BEC5"/>
      </left>
      <right style="thin">
        <color rgb="FFB0BEC5"/>
      </right>
      <top style="thin">
        <color rgb="FF00838F"/>
      </top>
      <bottom style="thin">
        <color rgb="FFB0BEC5"/>
      </bottom>
      <diagonal/>
    </border>
    <border>
      <left/>
      <right style="thin">
        <color rgb="FFB0BEC5"/>
      </right>
      <top style="thin">
        <color rgb="FFB0BEC5"/>
      </top>
      <bottom/>
      <diagonal/>
    </border>
    <border>
      <left/>
      <right style="thin">
        <color rgb="FFB0BEC5"/>
      </right>
      <top style="thin">
        <color rgb="FF0D2B4B"/>
      </top>
      <bottom/>
      <diagonal/>
    </border>
    <border>
      <left/>
      <right style="thin">
        <color rgb="FFB0BEC5"/>
      </right>
      <top style="thin">
        <color rgb="FFB0BEC5"/>
      </top>
      <bottom style="thin">
        <color rgb="FFB0BEC5"/>
      </bottom>
      <diagonal/>
    </border>
    <border>
      <left/>
      <right style="thin">
        <color rgb="FFB0BEC5"/>
      </right>
      <top/>
      <bottom/>
      <diagonal/>
    </border>
    <border>
      <left style="thin">
        <color rgb="FF006B6B"/>
      </left>
      <right style="thin">
        <color rgb="FF006B6B"/>
      </right>
      <top style="thin">
        <color rgb="FF00838F"/>
      </top>
      <bottom/>
      <diagonal/>
    </border>
    <border>
      <left style="thin">
        <color rgb="FF8AACCC"/>
      </left>
      <right style="thin">
        <color rgb="FF8AACCC"/>
      </right>
      <top style="thin">
        <color rgb="FF00838F"/>
      </top>
      <bottom/>
      <diagonal/>
    </border>
    <border>
      <left style="thin">
        <color rgb="FFB0C4D8"/>
      </left>
      <right style="thin">
        <color rgb="FFB0C4D8"/>
      </right>
      <top style="thin">
        <color rgb="FF80ACC8"/>
      </top>
      <bottom/>
      <diagonal/>
    </border>
    <border>
      <left style="thin">
        <color rgb="FFB0BEC5"/>
      </left>
      <right style="thin">
        <color rgb="FFB0BEC5"/>
      </right>
      <top style="thin">
        <color rgb="FFB0C4D8"/>
      </top>
      <bottom style="thin">
        <color rgb="FFB0BEC5"/>
      </bottom>
      <diagonal/>
    </border>
    <border>
      <left style="thin">
        <color rgb="FF1F3864"/>
      </left>
      <right style="thin">
        <color rgb="FF1F3864"/>
      </right>
      <top style="thin">
        <color rgb="FF0D3B66"/>
      </top>
      <bottom style="thin">
        <color rgb="FF0D3B66"/>
      </bottom>
      <diagonal/>
    </border>
    <border>
      <left/>
      <right/>
      <top style="thin">
        <color rgb="FF0D2B4B"/>
      </top>
      <bottom/>
      <diagonal/>
    </border>
    <border>
      <left style="thin">
        <color rgb="FF1A5733"/>
      </left>
      <right style="thin">
        <color rgb="FF1A5733"/>
      </right>
      <top style="thin">
        <color rgb="FF2E7D32"/>
      </top>
      <bottom style="thin">
        <color rgb="FF1A5733"/>
      </bottom>
      <diagonal/>
    </border>
    <border>
      <left style="thin">
        <color rgb="FF1A5733"/>
      </left>
      <right style="thin">
        <color rgb="FF1A5733"/>
      </right>
      <top style="thin">
        <color rgb="FF2E7D32"/>
      </top>
      <bottom style="thin">
        <color rgb="FF2E7D32"/>
      </bottom>
      <diagonal/>
    </border>
    <border>
      <left style="thin">
        <color rgb="FF8AACCC"/>
      </left>
      <right style="thin">
        <color rgb="FF8AACCC"/>
      </right>
      <top/>
      <bottom/>
      <diagonal/>
    </border>
    <border>
      <left style="thin">
        <color rgb="FF003366"/>
      </left>
      <right style="thin">
        <color rgb="FF003366"/>
      </right>
      <top/>
      <bottom/>
      <diagonal/>
    </border>
    <border>
      <left style="thin">
        <color rgb="FFB0C4D8"/>
      </left>
      <right style="thin">
        <color rgb="FFB0BEC5"/>
      </right>
      <top style="thin">
        <color rgb="FF8AACCC"/>
      </top>
      <bottom style="thin">
        <color rgb="FFB0BEC5"/>
      </bottom>
      <diagonal/>
    </border>
    <border>
      <left style="thin">
        <color rgb="FFB0BEC5"/>
      </left>
      <right style="thin">
        <color rgb="FFB0BEC5"/>
      </right>
      <top style="thin">
        <color rgb="FF8AACCC"/>
      </top>
      <bottom style="thin">
        <color rgb="FFB0BEC5"/>
      </bottom>
      <diagonal/>
    </border>
    <border>
      <left style="thin">
        <color rgb="FFB0BEC5"/>
      </left>
      <right style="thin">
        <color rgb="FFB0C4D8"/>
      </right>
      <top style="thin">
        <color rgb="FF8AACCC"/>
      </top>
      <bottom style="thin">
        <color rgb="FFB0BEC5"/>
      </bottom>
      <diagonal/>
    </border>
    <border>
      <left style="thin">
        <color rgb="FFB0C4D8"/>
      </left>
      <right style="thin">
        <color rgb="FFB0BEC5"/>
      </right>
      <top style="thin">
        <color rgb="FFB0BEC5"/>
      </top>
      <bottom style="thin">
        <color rgb="FF0D2B4B"/>
      </bottom>
      <diagonal/>
    </border>
    <border>
      <left style="thin">
        <color rgb="FFB0BEC5"/>
      </left>
      <right style="thin">
        <color rgb="FFB0BEC5"/>
      </right>
      <top style="thin">
        <color rgb="FFB0BEC5"/>
      </top>
      <bottom style="thin">
        <color rgb="FF0D2B4B"/>
      </bottom>
      <diagonal/>
    </border>
    <border>
      <left style="thin">
        <color rgb="FFB0BEC5"/>
      </left>
      <right style="thin">
        <color rgb="FFB0C4D8"/>
      </right>
      <top style="thin">
        <color rgb="FFB0BEC5"/>
      </top>
      <bottom style="thin">
        <color rgb="FF0D2B4B"/>
      </bottom>
      <diagonal/>
    </border>
    <border>
      <left style="thin">
        <color rgb="FF1A5733"/>
      </left>
      <right style="thin">
        <color rgb="FF1A5733"/>
      </right>
      <top/>
      <bottom style="thin">
        <color rgb="FF2E7D32"/>
      </bottom>
      <diagonal/>
    </border>
    <border>
      <left style="thin">
        <color rgb="FFB0C4D8"/>
      </left>
      <right style="thin">
        <color rgb="FFB0BEC5"/>
      </right>
      <top style="thin">
        <color rgb="FFB0BEC5"/>
      </top>
      <bottom style="thin">
        <color rgb="FF2E7D32"/>
      </bottom>
      <diagonal/>
    </border>
    <border>
      <left style="thin">
        <color rgb="FFB0BEC5"/>
      </left>
      <right style="thin">
        <color rgb="FFB0BEC5"/>
      </right>
      <top style="thin">
        <color rgb="FFB0BEC5"/>
      </top>
      <bottom style="thin">
        <color rgb="FF2E7D32"/>
      </bottom>
      <diagonal/>
    </border>
    <border>
      <left style="thin">
        <color rgb="FFB0BEC5"/>
      </left>
      <right style="thin">
        <color rgb="FFB0C4D8"/>
      </right>
      <top style="thin">
        <color rgb="FFB0BEC5"/>
      </top>
      <bottom style="thin">
        <color rgb="FF2E7D32"/>
      </bottom>
      <diagonal/>
    </border>
    <border>
      <left style="thin">
        <color rgb="FF3B1F6E"/>
      </left>
      <right style="thin">
        <color rgb="FF3B1F6E"/>
      </right>
      <top style="thin">
        <color rgb="FF0D2B4B"/>
      </top>
      <bottom style="thin">
        <color rgb="FF0D2B4B"/>
      </bottom>
      <diagonal/>
    </border>
    <border>
      <left style="thin">
        <color rgb="FF3B1F6E"/>
      </left>
      <right style="thin">
        <color rgb="FF3B1F6E"/>
      </right>
      <top/>
      <bottom style="thin">
        <color rgb="FF0D2B4B"/>
      </bottom>
      <diagonal/>
    </border>
    <border>
      <left style="thin">
        <color rgb="FF006B6B"/>
      </left>
      <right style="thin">
        <color rgb="FF006B6B"/>
      </right>
      <top style="thin">
        <color rgb="FF006B6B"/>
      </top>
      <bottom style="thin">
        <color rgb="FF00838F"/>
      </bottom>
      <diagonal/>
    </border>
    <border>
      <left style="thin">
        <color rgb="FF1A5733"/>
      </left>
      <right style="thin">
        <color rgb="FF1A5733"/>
      </right>
      <top style="thin">
        <color rgb="FF1A5733"/>
      </top>
      <bottom style="thin">
        <color rgb="FF2E7D32"/>
      </bottom>
      <diagonal/>
    </border>
    <border>
      <left style="thin">
        <color rgb="FF3B1F6E"/>
      </left>
      <right style="thin">
        <color rgb="FF3B1F6E"/>
      </right>
      <top style="thin">
        <color rgb="FFC17900"/>
      </top>
      <bottom style="thin">
        <color rgb="FF3B1F6E"/>
      </bottom>
      <diagonal/>
    </border>
    <border>
      <left style="thin">
        <color rgb="FF3B1F6E"/>
      </left>
      <right style="thin">
        <color rgb="FF3B1F6E"/>
      </right>
      <top style="thin">
        <color rgb="FF3B1F6E"/>
      </top>
      <bottom style="thin">
        <color rgb="FFC17900"/>
      </bottom>
      <diagonal/>
    </border>
    <border>
      <left style="thin">
        <color rgb="FF006B6B"/>
      </left>
      <right style="thin">
        <color rgb="FF006B6B"/>
      </right>
      <top style="thin">
        <color rgb="FF006B6B"/>
      </top>
      <bottom/>
      <diagonal/>
    </border>
    <border>
      <left style="thin">
        <color rgb="FF8AACCC"/>
      </left>
      <right style="thin">
        <color rgb="FF8AACCC"/>
      </right>
      <top style="thin">
        <color rgb="FF8AACCC"/>
      </top>
      <bottom/>
      <diagonal/>
    </border>
    <border>
      <left style="thin">
        <color rgb="FFB0BEC5"/>
      </left>
      <right style="thin">
        <color rgb="FFB0BEC5"/>
      </right>
      <top/>
      <bottom style="thin">
        <color rgb="FFB0BEC5"/>
      </bottom>
      <diagonal/>
    </border>
    <border>
      <left style="thin">
        <color rgb="FFB0C4D8"/>
      </left>
      <right style="thin">
        <color rgb="FFB0C4D8"/>
      </right>
      <top/>
      <bottom/>
      <diagonal/>
    </border>
    <border>
      <left style="thin">
        <color rgb="FF1A5733"/>
      </left>
      <right style="thin">
        <color rgb="FF1A5733"/>
      </right>
      <top style="thin">
        <color rgb="FF1A5733"/>
      </top>
      <bottom/>
      <diagonal/>
    </border>
    <border>
      <left style="thin">
        <color rgb="FFB0BEC5"/>
      </left>
      <right style="thin">
        <color rgb="FFB0BEC5"/>
      </right>
      <top style="thin">
        <color rgb="FF2E7D32"/>
      </top>
      <bottom style="thin">
        <color rgb="FFB0BEC5"/>
      </bottom>
      <diagonal/>
    </border>
    <border>
      <left style="thin">
        <color rgb="FF3B1F6E"/>
      </left>
      <right style="thin">
        <color rgb="FF3B1F6E"/>
      </right>
      <top style="thin">
        <color rgb="FF3B1F6E"/>
      </top>
      <bottom/>
      <diagonal/>
    </border>
    <border>
      <left style="thin">
        <color rgb="FFB0C4D8"/>
      </left>
      <right style="thin">
        <color rgb="FFB0C4D8"/>
      </right>
      <top style="thin">
        <color rgb="FFC17900"/>
      </top>
      <bottom style="thin">
        <color rgb="FFB0BEC5"/>
      </bottom>
      <diagonal/>
    </border>
    <border>
      <left style="thin">
        <color rgb="FFB0BEC5"/>
      </left>
      <right style="thin">
        <color rgb="FFB0BEC5"/>
      </right>
      <top style="thin">
        <color rgb="FFC17900"/>
      </top>
      <bottom style="thin">
        <color rgb="FFB0BEC5"/>
      </bottom>
      <diagonal/>
    </border>
    <border>
      <left/>
      <right/>
      <top style="thin">
        <color rgb="FF00838F"/>
      </top>
      <bottom style="thin">
        <color rgb="FF80ACC8"/>
      </bottom>
      <diagonal/>
    </border>
    <border>
      <left style="thin">
        <color rgb="FF1F3864"/>
      </left>
      <right style="thin">
        <color rgb="FF1F3864"/>
      </right>
      <top style="thin">
        <color rgb="FF0D3B66"/>
      </top>
      <bottom/>
      <diagonal/>
    </border>
    <border>
      <left/>
      <right/>
      <top style="thin">
        <color rgb="FF0D3B66"/>
      </top>
      <bottom/>
      <diagonal/>
    </border>
    <border>
      <left style="thin">
        <color rgb="FF1A5733"/>
      </left>
      <right style="thin">
        <color rgb="FF1A5733"/>
      </right>
      <top style="thin">
        <color rgb="FF2E7D32"/>
      </top>
      <bottom/>
      <diagonal/>
    </border>
    <border>
      <left/>
      <right/>
      <top style="thin">
        <color rgb="FF2E7D32"/>
      </top>
      <bottom/>
      <diagonal/>
    </border>
    <border>
      <left style="thin">
        <color rgb="FF7F6000"/>
      </left>
      <right style="thin">
        <color rgb="FF7F6000"/>
      </right>
      <top style="thin">
        <color rgb="FF0D2B4B"/>
      </top>
      <bottom/>
      <diagonal/>
    </border>
    <border>
      <left style="thin">
        <color rgb="FF7F6000"/>
      </left>
      <right style="thin">
        <color rgb="FF7F6000"/>
      </right>
      <top style="thin">
        <color rgb="FFC17900"/>
      </top>
      <bottom/>
      <diagonal/>
    </border>
    <border>
      <left style="thin">
        <color rgb="FF1F3864"/>
      </left>
      <right style="thin">
        <color rgb="FF1F3864"/>
      </right>
      <top/>
      <bottom/>
      <diagonal/>
    </border>
    <border>
      <left style="thin">
        <color rgb="FFB0BEC5"/>
      </left>
      <right style="thin">
        <color rgb="FFB0BEC5"/>
      </right>
      <top style="thin">
        <color rgb="FF0D3B66"/>
      </top>
      <bottom style="thin">
        <color rgb="FFB0BEC5"/>
      </bottom>
      <diagonal/>
    </border>
    <border>
      <left style="thin">
        <color rgb="FFB0BEC5"/>
      </left>
      <right style="thin">
        <color rgb="FFB0BEC5"/>
      </right>
      <top style="thin">
        <color rgb="FFB0BEC5"/>
      </top>
      <bottom style="thin">
        <color rgb="FF0D3B66"/>
      </bottom>
      <diagonal/>
    </border>
    <border>
      <left style="thin">
        <color rgb="FF1A5733"/>
      </left>
      <right style="thin">
        <color rgb="FF1A5733"/>
      </right>
      <top/>
      <bottom/>
      <diagonal/>
    </border>
    <border>
      <left style="thin">
        <color rgb="FFB0BEC5"/>
      </left>
      <right style="thin">
        <color rgb="FFB0BEC5"/>
      </right>
      <top style="thin">
        <color rgb="FFB0BEC5"/>
      </top>
      <bottom style="thin">
        <color rgb="FF00838F"/>
      </bottom>
      <diagonal/>
    </border>
    <border>
      <left style="thin">
        <color rgb="FF80ACC8"/>
      </left>
      <right style="thin">
        <color rgb="FF80ACC8"/>
      </right>
      <top style="thin">
        <color rgb="FF80ACC8"/>
      </top>
      <bottom style="thin">
        <color rgb="FF80ACC8"/>
      </bottom>
      <diagonal/>
    </border>
    <border>
      <left style="thin">
        <color rgb="FFB0BEC5"/>
      </left>
      <right style="thin">
        <color rgb="FFB0BEC5"/>
      </right>
      <top style="thin">
        <color rgb="FF80ACC8"/>
      </top>
      <bottom style="thin">
        <color rgb="FFB0BEC5"/>
      </bottom>
      <diagonal/>
    </border>
    <border>
      <left/>
      <right/>
      <top style="thin">
        <color rgb="FFB0BEC5"/>
      </top>
      <bottom style="thin">
        <color rgb="FFB0C4D8"/>
      </bottom>
      <diagonal/>
    </border>
    <border>
      <left/>
      <right style="thin">
        <color rgb="FFB0BEC5"/>
      </right>
      <top style="thin">
        <color rgb="FFB0BEC5"/>
      </top>
      <bottom style="thin">
        <color rgb="FFB0C4D8"/>
      </bottom>
      <diagonal/>
    </border>
    <border>
      <left/>
      <right/>
      <top style="thin">
        <color rgb="FFB0BEC5"/>
      </top>
      <bottom style="thin">
        <color rgb="FFB0BEC5"/>
      </bottom>
      <diagonal/>
    </border>
    <border>
      <left/>
      <right/>
      <top style="thin">
        <color rgb="FF00838F"/>
      </top>
      <bottom style="thin">
        <color rgb="FFB0BEC5"/>
      </bottom>
      <diagonal/>
    </border>
    <border>
      <left/>
      <right style="thin">
        <color rgb="FFB0BEC5"/>
      </right>
      <top style="thin">
        <color rgb="FF00838F"/>
      </top>
      <bottom style="thin">
        <color rgb="FFB0BEC5"/>
      </bottom>
      <diagonal/>
    </border>
    <border>
      <left/>
      <right/>
      <top style="thin">
        <color rgb="FFB0C4D8"/>
      </top>
      <bottom style="thin">
        <color rgb="FFB0BEC5"/>
      </bottom>
      <diagonal/>
    </border>
    <border>
      <left/>
      <right style="thin">
        <color rgb="FFB0BEC5"/>
      </right>
      <top style="thin">
        <color rgb="FFB0C4D8"/>
      </top>
      <bottom style="thin">
        <color rgb="FFB0BEC5"/>
      </bottom>
      <diagonal/>
    </border>
    <border>
      <left/>
      <right/>
      <top style="thin">
        <color rgb="FF2E7D32"/>
      </top>
      <bottom style="thin">
        <color rgb="FFB0BEC5"/>
      </bottom>
      <diagonal/>
    </border>
    <border>
      <left/>
      <right style="thin">
        <color rgb="FFB0BEC5"/>
      </right>
      <top style="thin">
        <color rgb="FF2E7D32"/>
      </top>
      <bottom style="thin">
        <color rgb="FFB0BEC5"/>
      </bottom>
      <diagonal/>
    </border>
    <border>
      <left/>
      <right/>
      <top style="thin">
        <color rgb="FFC17900"/>
      </top>
      <bottom style="thin">
        <color rgb="FFB0BEC5"/>
      </bottom>
      <diagonal/>
    </border>
    <border>
      <left/>
      <right style="thin">
        <color rgb="FFB0BEC5"/>
      </right>
      <top style="thin">
        <color rgb="FFC17900"/>
      </top>
      <bottom style="thin">
        <color rgb="FFB0BEC5"/>
      </bottom>
      <diagonal/>
    </border>
    <border>
      <left/>
      <right/>
      <top style="thin">
        <color rgb="FF80ACC8"/>
      </top>
      <bottom/>
      <diagonal/>
    </border>
    <border>
      <left/>
      <right style="thin">
        <color rgb="FF80ACC8"/>
      </right>
      <top style="thin">
        <color rgb="FF80ACC8"/>
      </top>
      <bottom/>
      <diagonal/>
    </border>
    <border>
      <left style="thin">
        <color rgb="FF80ACC8"/>
      </left>
      <right/>
      <top/>
      <bottom style="thin">
        <color rgb="FF80ACC8"/>
      </bottom>
      <diagonal/>
    </border>
    <border>
      <left/>
      <right/>
      <top/>
      <bottom style="thin">
        <color rgb="FF80ACC8"/>
      </bottom>
      <diagonal/>
    </border>
    <border>
      <left/>
      <right style="thin">
        <color rgb="FF80ACC8"/>
      </right>
      <top/>
      <bottom style="thin">
        <color rgb="FF80ACC8"/>
      </bottom>
      <diagonal/>
    </border>
  </borders>
  <cellStyleXfs count="1">
    <xf numFmtId="0" fontId="0" fillId="0" borderId="0"/>
  </cellStyleXfs>
  <cellXfs count="407">
    <xf numFmtId="0" fontId="0" fillId="0" borderId="0" xfId="0"/>
    <xf numFmtId="0" fontId="0" fillId="2" borderId="1" xfId="0" applyFill="1" applyBorder="1"/>
    <xf numFmtId="0" fontId="0" fillId="3" borderId="2" xfId="0" applyFill="1" applyBorder="1"/>
    <xf numFmtId="0" fontId="0" fillId="2" borderId="3" xfId="0" applyFill="1" applyBorder="1"/>
    <xf numFmtId="0" fontId="0" fillId="5" borderId="7" xfId="0" applyFill="1" applyBorder="1"/>
    <xf numFmtId="0" fontId="0" fillId="7" borderId="8" xfId="0" applyFill="1" applyBorder="1"/>
    <xf numFmtId="0" fontId="0" fillId="8" borderId="9" xfId="0" applyFill="1" applyBorder="1"/>
    <xf numFmtId="4" fontId="4" fillId="4" borderId="4" xfId="0" applyNumberFormat="1" applyFont="1" applyFill="1" applyBorder="1" applyAlignment="1">
      <alignment horizontal="center" vertical="center"/>
    </xf>
    <xf numFmtId="0" fontId="11" fillId="12" borderId="4" xfId="0" applyFont="1" applyFill="1" applyBorder="1" applyAlignment="1">
      <alignment horizontal="left" vertical="center"/>
    </xf>
    <xf numFmtId="0" fontId="0" fillId="2" borderId="10" xfId="0" applyFill="1" applyBorder="1"/>
    <xf numFmtId="0" fontId="0" fillId="3" borderId="12" xfId="0" applyFill="1" applyBorder="1"/>
    <xf numFmtId="0" fontId="1" fillId="9" borderId="13" xfId="0" applyFont="1" applyFill="1" applyBorder="1" applyAlignment="1">
      <alignment horizontal="left" vertical="center"/>
    </xf>
    <xf numFmtId="0" fontId="10" fillId="9" borderId="14" xfId="0" applyFont="1" applyFill="1" applyBorder="1"/>
    <xf numFmtId="0" fontId="10" fillId="9" borderId="15" xfId="0" applyFont="1" applyFill="1" applyBorder="1"/>
    <xf numFmtId="0" fontId="2" fillId="10" borderId="16" xfId="0" applyFont="1" applyFill="1" applyBorder="1" applyAlignment="1">
      <alignment horizontal="left" vertical="center"/>
    </xf>
    <xf numFmtId="0" fontId="10" fillId="10" borderId="17" xfId="0" applyFont="1" applyFill="1" applyBorder="1"/>
    <xf numFmtId="0" fontId="10" fillId="10" borderId="18" xfId="0" applyFont="1" applyFill="1" applyBorder="1"/>
    <xf numFmtId="0" fontId="0" fillId="2" borderId="19" xfId="0" applyFill="1" applyBorder="1"/>
    <xf numFmtId="0" fontId="0" fillId="0" borderId="20" xfId="0" applyBorder="1"/>
    <xf numFmtId="0" fontId="11" fillId="12" borderId="21" xfId="0" applyFont="1" applyFill="1" applyBorder="1" applyAlignment="1">
      <alignment horizontal="left" vertical="center"/>
    </xf>
    <xf numFmtId="0" fontId="3" fillId="9" borderId="23" xfId="0" applyFont="1" applyFill="1" applyBorder="1" applyAlignment="1">
      <alignment horizontal="left" vertical="center"/>
    </xf>
    <xf numFmtId="0" fontId="0" fillId="9" borderId="23" xfId="0" applyFill="1" applyBorder="1"/>
    <xf numFmtId="0" fontId="0" fillId="9" borderId="24" xfId="0" applyFill="1" applyBorder="1"/>
    <xf numFmtId="0" fontId="3" fillId="9" borderId="25" xfId="0" applyFont="1" applyFill="1" applyBorder="1" applyAlignment="1">
      <alignment horizontal="center" vertical="center" wrapText="1"/>
    </xf>
    <xf numFmtId="0" fontId="3" fillId="9" borderId="26" xfId="0" applyFont="1" applyFill="1" applyBorder="1" applyAlignment="1">
      <alignment horizontal="left" vertical="center"/>
    </xf>
    <xf numFmtId="0" fontId="0" fillId="9" borderId="27" xfId="0" applyFill="1" applyBorder="1"/>
    <xf numFmtId="0" fontId="0" fillId="5" borderId="28" xfId="0" applyFill="1" applyBorder="1"/>
    <xf numFmtId="0" fontId="3" fillId="9" borderId="29" xfId="0" applyFont="1" applyFill="1" applyBorder="1" applyAlignment="1">
      <alignment horizontal="center" vertical="center" wrapText="1"/>
    </xf>
    <xf numFmtId="0" fontId="3" fillId="11" borderId="30" xfId="0" applyFont="1" applyFill="1" applyBorder="1" applyAlignment="1">
      <alignment horizontal="left" vertical="center"/>
    </xf>
    <xf numFmtId="0" fontId="0" fillId="11" borderId="30" xfId="0" applyFill="1" applyBorder="1"/>
    <xf numFmtId="0" fontId="0" fillId="7" borderId="32" xfId="0" applyFill="1" applyBorder="1"/>
    <xf numFmtId="0" fontId="3" fillId="10" borderId="33" xfId="0" applyFont="1" applyFill="1" applyBorder="1" applyAlignment="1">
      <alignment horizontal="left" vertical="center"/>
    </xf>
    <xf numFmtId="0" fontId="0" fillId="10" borderId="33" xfId="0" applyFill="1" applyBorder="1"/>
    <xf numFmtId="0" fontId="3" fillId="10" borderId="34" xfId="0" applyFont="1" applyFill="1" applyBorder="1" applyAlignment="1">
      <alignment horizontal="left" vertical="center"/>
    </xf>
    <xf numFmtId="0" fontId="3" fillId="10" borderId="35" xfId="0" applyFont="1" applyFill="1" applyBorder="1" applyAlignment="1">
      <alignment horizontal="left" vertical="center"/>
    </xf>
    <xf numFmtId="0" fontId="0" fillId="10" borderId="35" xfId="0" applyFill="1" applyBorder="1"/>
    <xf numFmtId="0" fontId="0" fillId="0" borderId="36" xfId="0" applyBorder="1"/>
    <xf numFmtId="0" fontId="0" fillId="8" borderId="37" xfId="0" applyFill="1" applyBorder="1"/>
    <xf numFmtId="0" fontId="0" fillId="17" borderId="39" xfId="0" applyFill="1" applyBorder="1"/>
    <xf numFmtId="0" fontId="14" fillId="17" borderId="39" xfId="0" applyFont="1" applyFill="1" applyBorder="1" applyAlignment="1">
      <alignment horizontal="left" vertical="center" wrapText="1"/>
    </xf>
    <xf numFmtId="0" fontId="0" fillId="0" borderId="40" xfId="0" applyBorder="1"/>
    <xf numFmtId="0" fontId="5" fillId="13" borderId="43" xfId="0" applyFont="1" applyFill="1" applyBorder="1" applyAlignment="1">
      <alignment horizontal="left" vertical="center"/>
    </xf>
    <xf numFmtId="0" fontId="5" fillId="13" borderId="46" xfId="0" applyFont="1" applyFill="1" applyBorder="1" applyAlignment="1">
      <alignment horizontal="left" vertical="center"/>
    </xf>
    <xf numFmtId="0" fontId="11" fillId="12" borderId="46" xfId="0" applyFont="1" applyFill="1" applyBorder="1" applyAlignment="1">
      <alignment horizontal="left" vertical="center"/>
    </xf>
    <xf numFmtId="0" fontId="0" fillId="11" borderId="50" xfId="0" applyFill="1" applyBorder="1"/>
    <xf numFmtId="0" fontId="5" fillId="14" borderId="46" xfId="0" applyFont="1" applyFill="1" applyBorder="1" applyAlignment="1">
      <alignment horizontal="left" vertical="center"/>
    </xf>
    <xf numFmtId="0" fontId="5" fillId="13" borderId="46" xfId="0" applyFont="1" applyFill="1" applyBorder="1" applyAlignment="1">
      <alignment horizontal="center" vertical="center"/>
    </xf>
    <xf numFmtId="0" fontId="5" fillId="6" borderId="46" xfId="0" applyFont="1" applyFill="1" applyBorder="1" applyAlignment="1">
      <alignment horizontal="left" vertical="center"/>
    </xf>
    <xf numFmtId="0" fontId="11" fillId="6" borderId="46" xfId="0" applyFont="1" applyFill="1" applyBorder="1" applyAlignment="1">
      <alignment horizontal="center" vertical="center"/>
    </xf>
    <xf numFmtId="0" fontId="11" fillId="14" borderId="46" xfId="0" applyFont="1" applyFill="1" applyBorder="1" applyAlignment="1">
      <alignment horizontal="center" vertical="center"/>
    </xf>
    <xf numFmtId="0" fontId="12" fillId="11" borderId="51" xfId="0" applyFont="1" applyFill="1" applyBorder="1"/>
    <xf numFmtId="0" fontId="0" fillId="11" borderId="51" xfId="0" applyFill="1" applyBorder="1"/>
    <xf numFmtId="0" fontId="0" fillId="10" borderId="53" xfId="0" applyFill="1" applyBorder="1"/>
    <xf numFmtId="0" fontId="13" fillId="15" borderId="46" xfId="0" applyFont="1" applyFill="1" applyBorder="1" applyAlignment="1">
      <alignment horizontal="left" vertical="center"/>
    </xf>
    <xf numFmtId="0" fontId="11" fillId="12" borderId="55" xfId="0" applyFont="1" applyFill="1" applyBorder="1" applyAlignment="1">
      <alignment horizontal="left" vertical="center"/>
    </xf>
    <xf numFmtId="0" fontId="0" fillId="0" borderId="56" xfId="0" applyBorder="1"/>
    <xf numFmtId="0" fontId="11" fillId="12" borderId="57" xfId="0" applyFont="1" applyFill="1" applyBorder="1" applyAlignment="1">
      <alignment horizontal="left" vertical="center"/>
    </xf>
    <xf numFmtId="0" fontId="0" fillId="0" borderId="58" xfId="0" applyBorder="1"/>
    <xf numFmtId="0" fontId="11" fillId="16" borderId="4" xfId="0" applyFont="1" applyFill="1" applyBorder="1" applyAlignment="1">
      <alignment horizontal="left" vertical="center"/>
    </xf>
    <xf numFmtId="0" fontId="1" fillId="9" borderId="14" xfId="0" applyFont="1" applyFill="1" applyBorder="1" applyAlignment="1">
      <alignment horizontal="left" vertical="center"/>
    </xf>
    <xf numFmtId="0" fontId="0" fillId="9" borderId="14" xfId="0" applyFill="1" applyBorder="1"/>
    <xf numFmtId="0" fontId="2" fillId="10" borderId="17" xfId="0" applyFont="1" applyFill="1" applyBorder="1" applyAlignment="1">
      <alignment horizontal="left" vertical="center"/>
    </xf>
    <xf numFmtId="0" fontId="0" fillId="10" borderId="17" xfId="0" applyFill="1" applyBorder="1"/>
    <xf numFmtId="0" fontId="11" fillId="12" borderId="31" xfId="0" applyFont="1" applyFill="1" applyBorder="1" applyAlignment="1">
      <alignment horizontal="left" vertical="center"/>
    </xf>
    <xf numFmtId="0" fontId="0" fillId="10" borderId="59" xfId="0" applyFill="1" applyBorder="1"/>
    <xf numFmtId="0" fontId="3" fillId="9" borderId="60" xfId="0" applyFont="1" applyFill="1" applyBorder="1" applyAlignment="1">
      <alignment horizontal="center" vertical="center" wrapText="1"/>
    </xf>
    <xf numFmtId="0" fontId="3" fillId="10" borderId="60" xfId="0" applyFont="1" applyFill="1" applyBorder="1" applyAlignment="1">
      <alignment horizontal="center" vertical="center" wrapText="1"/>
    </xf>
    <xf numFmtId="0" fontId="11" fillId="15" borderId="61" xfId="0" applyFont="1" applyFill="1" applyBorder="1" applyAlignment="1">
      <alignment horizontal="left" vertical="center"/>
    </xf>
    <xf numFmtId="2" fontId="5" fillId="13" borderId="61" xfId="0" applyNumberFormat="1" applyFont="1" applyFill="1" applyBorder="1" applyAlignment="1">
      <alignment horizontal="center" vertical="center"/>
    </xf>
    <xf numFmtId="164" fontId="11" fillId="12" borderId="61" xfId="0" applyNumberFormat="1" applyFont="1" applyFill="1" applyBorder="1" applyAlignment="1">
      <alignment horizontal="center" vertical="center"/>
    </xf>
    <xf numFmtId="0" fontId="16" fillId="12" borderId="61" xfId="0" applyFont="1" applyFill="1" applyBorder="1" applyAlignment="1">
      <alignment horizontal="left" vertical="center" wrapText="1"/>
    </xf>
    <xf numFmtId="2" fontId="5" fillId="13" borderId="62" xfId="0" applyNumberFormat="1" applyFont="1" applyFill="1" applyBorder="1" applyAlignment="1">
      <alignment horizontal="center" vertical="center"/>
    </xf>
    <xf numFmtId="164" fontId="11" fillId="12" borderId="62" xfId="0" applyNumberFormat="1" applyFont="1" applyFill="1" applyBorder="1" applyAlignment="1">
      <alignment horizontal="center" vertical="center"/>
    </xf>
    <xf numFmtId="2" fontId="5" fillId="13" borderId="46" xfId="0" applyNumberFormat="1" applyFont="1" applyFill="1" applyBorder="1" applyAlignment="1">
      <alignment horizontal="center" vertical="center"/>
    </xf>
    <xf numFmtId="164" fontId="11" fillId="12" borderId="46" xfId="0" applyNumberFormat="1" applyFont="1" applyFill="1" applyBorder="1" applyAlignment="1">
      <alignment horizontal="center" vertical="center"/>
    </xf>
    <xf numFmtId="164" fontId="15" fillId="16" borderId="46" xfId="0" applyNumberFormat="1" applyFont="1" applyFill="1" applyBorder="1" applyAlignment="1">
      <alignment horizontal="center" vertical="center"/>
    </xf>
    <xf numFmtId="164" fontId="13" fillId="15" borderId="46" xfId="0" applyNumberFormat="1" applyFont="1" applyFill="1" applyBorder="1" applyAlignment="1">
      <alignment horizontal="center" vertical="center"/>
    </xf>
    <xf numFmtId="164" fontId="15" fillId="15" borderId="46" xfId="0" applyNumberFormat="1" applyFont="1" applyFill="1" applyBorder="1" applyAlignment="1">
      <alignment horizontal="center" vertical="center"/>
    </xf>
    <xf numFmtId="164" fontId="15" fillId="16" borderId="43" xfId="0" applyNumberFormat="1" applyFont="1" applyFill="1" applyBorder="1" applyAlignment="1">
      <alignment horizontal="center" vertical="center"/>
    </xf>
    <xf numFmtId="164" fontId="13" fillId="15" borderId="43" xfId="0" applyNumberFormat="1" applyFont="1" applyFill="1" applyBorder="1" applyAlignment="1">
      <alignment horizontal="center" vertical="center"/>
    </xf>
    <xf numFmtId="0" fontId="11" fillId="16" borderId="62" xfId="0" applyFont="1" applyFill="1" applyBorder="1" applyAlignment="1">
      <alignment horizontal="left" vertical="center"/>
    </xf>
    <xf numFmtId="0" fontId="11" fillId="15" borderId="46" xfId="0" applyFont="1" applyFill="1" applyBorder="1" applyAlignment="1">
      <alignment horizontal="left" vertical="center"/>
    </xf>
    <xf numFmtId="0" fontId="11" fillId="16" borderId="46" xfId="0" applyFont="1" applyFill="1" applyBorder="1" applyAlignment="1">
      <alignment horizontal="left" vertical="center"/>
    </xf>
    <xf numFmtId="0" fontId="13" fillId="16" borderId="46" xfId="0" applyFont="1" applyFill="1" applyBorder="1" applyAlignment="1">
      <alignment horizontal="left" vertical="center"/>
    </xf>
    <xf numFmtId="0" fontId="13" fillId="16" borderId="43" xfId="0" applyFont="1" applyFill="1" applyBorder="1" applyAlignment="1">
      <alignment horizontal="left" vertical="center"/>
    </xf>
    <xf numFmtId="0" fontId="16" fillId="12" borderId="62" xfId="0" applyFont="1" applyFill="1" applyBorder="1" applyAlignment="1">
      <alignment horizontal="left" vertical="center" wrapText="1"/>
    </xf>
    <xf numFmtId="0" fontId="16" fillId="12" borderId="46" xfId="0" applyFont="1" applyFill="1" applyBorder="1" applyAlignment="1">
      <alignment horizontal="left" vertical="center" wrapText="1"/>
    </xf>
    <xf numFmtId="164" fontId="16" fillId="12" borderId="46" xfId="0" applyNumberFormat="1" applyFont="1" applyFill="1" applyBorder="1" applyAlignment="1">
      <alignment horizontal="center" vertical="center"/>
    </xf>
    <xf numFmtId="164" fontId="16" fillId="12" borderId="43" xfId="0" applyNumberFormat="1" applyFont="1" applyFill="1" applyBorder="1" applyAlignment="1">
      <alignment horizontal="center" vertical="center"/>
    </xf>
    <xf numFmtId="0" fontId="3" fillId="18" borderId="63" xfId="0" applyFont="1" applyFill="1" applyBorder="1" applyAlignment="1">
      <alignment horizontal="left" vertical="center"/>
    </xf>
    <xf numFmtId="0" fontId="0" fillId="18" borderId="63" xfId="0" applyFill="1" applyBorder="1"/>
    <xf numFmtId="0" fontId="3" fillId="9" borderId="27" xfId="0" applyFont="1" applyFill="1" applyBorder="1" applyAlignment="1">
      <alignment horizontal="center" vertical="center"/>
    </xf>
    <xf numFmtId="0" fontId="3" fillId="9" borderId="27" xfId="0" applyFont="1" applyFill="1" applyBorder="1" applyAlignment="1">
      <alignment horizontal="left" vertical="center"/>
    </xf>
    <xf numFmtId="0" fontId="0" fillId="0" borderId="64" xfId="0" applyBorder="1"/>
    <xf numFmtId="0" fontId="3" fillId="20" borderId="25" xfId="0" applyFont="1" applyFill="1" applyBorder="1" applyAlignment="1">
      <alignment horizontal="center" vertical="center" wrapText="1"/>
    </xf>
    <xf numFmtId="0" fontId="3" fillId="20" borderId="65" xfId="0" applyFont="1" applyFill="1" applyBorder="1" applyAlignment="1">
      <alignment horizontal="left" vertical="center"/>
    </xf>
    <xf numFmtId="0" fontId="0" fillId="20" borderId="65" xfId="0" applyFill="1" applyBorder="1"/>
    <xf numFmtId="0" fontId="3" fillId="20" borderId="66" xfId="0" applyFont="1" applyFill="1" applyBorder="1" applyAlignment="1">
      <alignment horizontal="left" vertical="center"/>
    </xf>
    <xf numFmtId="0" fontId="0" fillId="20" borderId="66" xfId="0" applyFill="1" applyBorder="1"/>
    <xf numFmtId="0" fontId="11" fillId="16" borderId="31" xfId="0" applyFont="1" applyFill="1" applyBorder="1" applyAlignment="1">
      <alignment horizontal="left" vertical="center"/>
    </xf>
    <xf numFmtId="0" fontId="3" fillId="20" borderId="66" xfId="0" applyFont="1" applyFill="1" applyBorder="1" applyAlignment="1">
      <alignment horizontal="center" vertical="center"/>
    </xf>
    <xf numFmtId="0" fontId="3" fillId="9" borderId="67" xfId="0" applyFont="1" applyFill="1" applyBorder="1" applyAlignment="1">
      <alignment horizontal="center" vertical="center" wrapText="1"/>
    </xf>
    <xf numFmtId="0" fontId="3" fillId="18" borderId="67" xfId="0" applyFont="1" applyFill="1" applyBorder="1" applyAlignment="1">
      <alignment horizontal="center" vertical="center" wrapText="1"/>
    </xf>
    <xf numFmtId="0" fontId="3" fillId="9" borderId="68" xfId="0" applyFont="1" applyFill="1" applyBorder="1" applyAlignment="1">
      <alignment horizontal="center" vertical="center"/>
    </xf>
    <xf numFmtId="0" fontId="3" fillId="9" borderId="68" xfId="0" applyFont="1" applyFill="1" applyBorder="1" applyAlignment="1">
      <alignment horizontal="left" vertical="center"/>
    </xf>
    <xf numFmtId="4" fontId="3" fillId="9" borderId="68" xfId="0" applyNumberFormat="1" applyFont="1" applyFill="1" applyBorder="1" applyAlignment="1">
      <alignment horizontal="center" vertical="center"/>
    </xf>
    <xf numFmtId="4" fontId="8" fillId="9" borderId="68" xfId="0" applyNumberFormat="1" applyFont="1" applyFill="1" applyBorder="1" applyAlignment="1">
      <alignment horizontal="center" vertical="center"/>
    </xf>
    <xf numFmtId="0" fontId="17" fillId="14" borderId="69" xfId="0" applyFont="1" applyFill="1" applyBorder="1" applyAlignment="1">
      <alignment horizontal="center" vertical="center"/>
    </xf>
    <xf numFmtId="0" fontId="11" fillId="14" borderId="70" xfId="0" applyFont="1" applyFill="1" applyBorder="1" applyAlignment="1">
      <alignment horizontal="left" vertical="center"/>
    </xf>
    <xf numFmtId="4" fontId="5" fillId="13" borderId="70" xfId="0" applyNumberFormat="1" applyFont="1" applyFill="1" applyBorder="1" applyAlignment="1">
      <alignment horizontal="center" vertical="center"/>
    </xf>
    <xf numFmtId="4" fontId="11" fillId="19" borderId="70" xfId="0" applyNumberFormat="1" applyFont="1" applyFill="1" applyBorder="1" applyAlignment="1">
      <alignment horizontal="center" vertical="center"/>
    </xf>
    <xf numFmtId="0" fontId="16" fillId="6" borderId="71" xfId="0" applyFont="1" applyFill="1" applyBorder="1" applyAlignment="1">
      <alignment horizontal="left" vertical="center"/>
    </xf>
    <xf numFmtId="0" fontId="17" fillId="16" borderId="45" xfId="0" applyFont="1" applyFill="1" applyBorder="1" applyAlignment="1">
      <alignment horizontal="center" vertical="center"/>
    </xf>
    <xf numFmtId="4" fontId="5" fillId="13" borderId="46" xfId="0" applyNumberFormat="1" applyFont="1" applyFill="1" applyBorder="1" applyAlignment="1">
      <alignment horizontal="center" vertical="center"/>
    </xf>
    <xf numFmtId="4" fontId="11" fillId="19" borderId="46" xfId="0" applyNumberFormat="1" applyFont="1" applyFill="1" applyBorder="1" applyAlignment="1">
      <alignment horizontal="center" vertical="center"/>
    </xf>
    <xf numFmtId="0" fontId="16" fillId="6" borderId="47" xfId="0" applyFont="1" applyFill="1" applyBorder="1" applyAlignment="1">
      <alignment horizontal="left" vertical="center"/>
    </xf>
    <xf numFmtId="0" fontId="17" fillId="14" borderId="45" xfId="0" applyFont="1" applyFill="1" applyBorder="1" applyAlignment="1">
      <alignment horizontal="center" vertical="center"/>
    </xf>
    <xf numFmtId="0" fontId="11" fillId="14" borderId="46" xfId="0" applyFont="1" applyFill="1" applyBorder="1" applyAlignment="1">
      <alignment horizontal="left" vertical="center"/>
    </xf>
    <xf numFmtId="0" fontId="17" fillId="14" borderId="72" xfId="0" applyFont="1" applyFill="1" applyBorder="1" applyAlignment="1">
      <alignment horizontal="center" vertical="center"/>
    </xf>
    <xf numFmtId="0" fontId="11" fillId="14" borderId="73" xfId="0" applyFont="1" applyFill="1" applyBorder="1" applyAlignment="1">
      <alignment horizontal="left" vertical="center"/>
    </xf>
    <xf numFmtId="4" fontId="5" fillId="13" borderId="73" xfId="0" applyNumberFormat="1" applyFont="1" applyFill="1" applyBorder="1" applyAlignment="1">
      <alignment horizontal="center" vertical="center"/>
    </xf>
    <xf numFmtId="4" fontId="11" fillId="19" borderId="73" xfId="0" applyNumberFormat="1" applyFont="1" applyFill="1" applyBorder="1" applyAlignment="1">
      <alignment horizontal="center" vertical="center"/>
    </xf>
    <xf numFmtId="0" fontId="16" fillId="6" borderId="74" xfId="0" applyFont="1" applyFill="1" applyBorder="1" applyAlignment="1">
      <alignment horizontal="left" vertical="center"/>
    </xf>
    <xf numFmtId="0" fontId="3" fillId="20" borderId="67" xfId="0" applyFont="1" applyFill="1" applyBorder="1" applyAlignment="1">
      <alignment horizontal="center" vertical="center" wrapText="1"/>
    </xf>
    <xf numFmtId="0" fontId="3" fillId="20" borderId="75" xfId="0" applyFont="1" applyFill="1" applyBorder="1" applyAlignment="1">
      <alignment horizontal="center" vertical="center"/>
    </xf>
    <xf numFmtId="0" fontId="3" fillId="20" borderId="75" xfId="0" applyFont="1" applyFill="1" applyBorder="1" applyAlignment="1">
      <alignment horizontal="left" vertical="center"/>
    </xf>
    <xf numFmtId="4" fontId="3" fillId="20" borderId="75" xfId="0" applyNumberFormat="1" applyFont="1" applyFill="1" applyBorder="1" applyAlignment="1">
      <alignment horizontal="center" vertical="center"/>
    </xf>
    <xf numFmtId="4" fontId="8" fillId="20" borderId="75" xfId="0" applyNumberFormat="1" applyFont="1" applyFill="1" applyBorder="1" applyAlignment="1">
      <alignment horizontal="center" vertical="center"/>
    </xf>
    <xf numFmtId="0" fontId="18" fillId="16" borderId="69" xfId="0" applyFont="1" applyFill="1" applyBorder="1" applyAlignment="1">
      <alignment horizontal="center" vertical="center"/>
    </xf>
    <xf numFmtId="0" fontId="11" fillId="16" borderId="70" xfId="0" applyFont="1" applyFill="1" applyBorder="1" applyAlignment="1">
      <alignment horizontal="left" vertical="center"/>
    </xf>
    <xf numFmtId="4" fontId="11" fillId="21" borderId="70" xfId="0" applyNumberFormat="1" applyFont="1" applyFill="1" applyBorder="1" applyAlignment="1">
      <alignment horizontal="center" vertical="center"/>
    </xf>
    <xf numFmtId="0" fontId="18" fillId="21" borderId="45" xfId="0" applyFont="1" applyFill="1" applyBorder="1" applyAlignment="1">
      <alignment horizontal="center" vertical="center"/>
    </xf>
    <xf numFmtId="0" fontId="11" fillId="21" borderId="46" xfId="0" applyFont="1" applyFill="1" applyBorder="1" applyAlignment="1">
      <alignment horizontal="left" vertical="center"/>
    </xf>
    <xf numFmtId="4" fontId="11" fillId="21" borderId="46" xfId="0" applyNumberFormat="1" applyFont="1" applyFill="1" applyBorder="1" applyAlignment="1">
      <alignment horizontal="center" vertical="center"/>
    </xf>
    <xf numFmtId="0" fontId="18" fillId="16" borderId="45" xfId="0" applyFont="1" applyFill="1" applyBorder="1" applyAlignment="1">
      <alignment horizontal="center" vertical="center"/>
    </xf>
    <xf numFmtId="0" fontId="18" fillId="16" borderId="76" xfId="0" applyFont="1" applyFill="1" applyBorder="1" applyAlignment="1">
      <alignment horizontal="center" vertical="center"/>
    </xf>
    <xf numFmtId="0" fontId="11" fillId="16" borderId="77" xfId="0" applyFont="1" applyFill="1" applyBorder="1" applyAlignment="1">
      <alignment horizontal="left" vertical="center"/>
    </xf>
    <xf numFmtId="4" fontId="5" fillId="13" borderId="77" xfId="0" applyNumberFormat="1" applyFont="1" applyFill="1" applyBorder="1" applyAlignment="1">
      <alignment horizontal="center" vertical="center"/>
    </xf>
    <xf numFmtId="4" fontId="11" fillId="21" borderId="77" xfId="0" applyNumberFormat="1" applyFont="1" applyFill="1" applyBorder="1" applyAlignment="1">
      <alignment horizontal="center" vertical="center"/>
    </xf>
    <xf numFmtId="0" fontId="16" fillId="6" borderId="78" xfId="0" applyFont="1" applyFill="1" applyBorder="1" applyAlignment="1">
      <alignment horizontal="left" vertical="center"/>
    </xf>
    <xf numFmtId="4" fontId="19" fillId="16" borderId="4" xfId="0" applyNumberFormat="1" applyFont="1" applyFill="1" applyBorder="1" applyAlignment="1">
      <alignment horizontal="center" vertical="center"/>
    </xf>
    <xf numFmtId="0" fontId="2" fillId="9" borderId="25" xfId="0" applyFont="1" applyFill="1" applyBorder="1" applyAlignment="1">
      <alignment horizontal="center" vertical="center" wrapText="1"/>
    </xf>
    <xf numFmtId="0" fontId="3" fillId="9" borderId="79" xfId="0" applyFont="1" applyFill="1" applyBorder="1" applyAlignment="1">
      <alignment horizontal="left" vertical="center"/>
    </xf>
    <xf numFmtId="0" fontId="0" fillId="9" borderId="79" xfId="0" applyFill="1" applyBorder="1"/>
    <xf numFmtId="0" fontId="2" fillId="9" borderId="67" xfId="0" applyFont="1" applyFill="1" applyBorder="1" applyAlignment="1">
      <alignment horizontal="center" vertical="center" wrapText="1"/>
    </xf>
    <xf numFmtId="0" fontId="2" fillId="11" borderId="67" xfId="0" applyFont="1" applyFill="1" applyBorder="1" applyAlignment="1">
      <alignment horizontal="center" vertical="center" wrapText="1"/>
    </xf>
    <xf numFmtId="0" fontId="11" fillId="19" borderId="69" xfId="0" applyFont="1" applyFill="1" applyBorder="1" applyAlignment="1">
      <alignment horizontal="center" vertical="center"/>
    </xf>
    <xf numFmtId="0" fontId="5" fillId="13" borderId="70" xfId="0" applyFont="1" applyFill="1" applyBorder="1" applyAlignment="1">
      <alignment horizontal="left" vertical="center"/>
    </xf>
    <xf numFmtId="0" fontId="5" fillId="13" borderId="70" xfId="0" applyFont="1" applyFill="1" applyBorder="1" applyAlignment="1">
      <alignment horizontal="center" vertical="center"/>
    </xf>
    <xf numFmtId="1" fontId="5" fillId="13" borderId="70" xfId="0" applyNumberFormat="1" applyFont="1" applyFill="1" applyBorder="1" applyAlignment="1">
      <alignment horizontal="center" vertical="center"/>
    </xf>
    <xf numFmtId="165" fontId="5" fillId="13" borderId="70" xfId="0" applyNumberFormat="1" applyFont="1" applyFill="1" applyBorder="1" applyAlignment="1">
      <alignment horizontal="center" vertical="center"/>
    </xf>
    <xf numFmtId="165" fontId="5" fillId="13" borderId="71" xfId="0" applyNumberFormat="1" applyFont="1" applyFill="1" applyBorder="1" applyAlignment="1">
      <alignment horizontal="center" vertical="center"/>
    </xf>
    <xf numFmtId="0" fontId="11" fillId="16" borderId="45" xfId="0" applyFont="1" applyFill="1" applyBorder="1" applyAlignment="1">
      <alignment horizontal="center" vertical="center"/>
    </xf>
    <xf numFmtId="1" fontId="5" fillId="13" borderId="46" xfId="0" applyNumberFormat="1" applyFont="1" applyFill="1" applyBorder="1" applyAlignment="1">
      <alignment horizontal="center" vertical="center"/>
    </xf>
    <xf numFmtId="165" fontId="5" fillId="13" borderId="46" xfId="0" applyNumberFormat="1" applyFont="1" applyFill="1" applyBorder="1" applyAlignment="1">
      <alignment horizontal="center" vertical="center"/>
    </xf>
    <xf numFmtId="165" fontId="5" fillId="13" borderId="47" xfId="0" applyNumberFormat="1" applyFont="1" applyFill="1" applyBorder="1" applyAlignment="1">
      <alignment horizontal="center" vertical="center"/>
    </xf>
    <xf numFmtId="0" fontId="11" fillId="19" borderId="45" xfId="0" applyFont="1" applyFill="1" applyBorder="1" applyAlignment="1">
      <alignment horizontal="center" vertical="center"/>
    </xf>
    <xf numFmtId="0" fontId="11" fillId="16" borderId="42" xfId="0" applyFont="1" applyFill="1" applyBorder="1" applyAlignment="1">
      <alignment horizontal="center" vertical="center"/>
    </xf>
    <xf numFmtId="0" fontId="5" fillId="13" borderId="43" xfId="0" applyFont="1" applyFill="1" applyBorder="1" applyAlignment="1">
      <alignment horizontal="center" vertical="center"/>
    </xf>
    <xf numFmtId="1" fontId="5" fillId="13" borderId="43" xfId="0" applyNumberFormat="1" applyFont="1" applyFill="1" applyBorder="1" applyAlignment="1">
      <alignment horizontal="center" vertical="center"/>
    </xf>
    <xf numFmtId="4" fontId="5" fillId="13" borderId="43" xfId="0" applyNumberFormat="1" applyFont="1" applyFill="1" applyBorder="1" applyAlignment="1">
      <alignment horizontal="center" vertical="center"/>
    </xf>
    <xf numFmtId="165" fontId="5" fillId="13" borderId="43" xfId="0" applyNumberFormat="1" applyFont="1" applyFill="1" applyBorder="1" applyAlignment="1">
      <alignment horizontal="center" vertical="center"/>
    </xf>
    <xf numFmtId="165" fontId="5" fillId="13" borderId="44" xfId="0" applyNumberFormat="1" applyFont="1" applyFill="1" applyBorder="1" applyAlignment="1">
      <alignment horizontal="center" vertical="center"/>
    </xf>
    <xf numFmtId="0" fontId="3" fillId="9" borderId="80" xfId="0" applyFont="1" applyFill="1" applyBorder="1" applyAlignment="1">
      <alignment horizontal="center" vertical="center"/>
    </xf>
    <xf numFmtId="0" fontId="3" fillId="9" borderId="80" xfId="0" applyFont="1" applyFill="1" applyBorder="1" applyAlignment="1">
      <alignment horizontal="left" vertical="center"/>
    </xf>
    <xf numFmtId="4" fontId="3" fillId="9" borderId="80" xfId="0" applyNumberFormat="1" applyFont="1" applyFill="1" applyBorder="1" applyAlignment="1">
      <alignment horizontal="center" vertical="center"/>
    </xf>
    <xf numFmtId="0" fontId="19" fillId="19" borderId="69" xfId="0" applyFont="1" applyFill="1" applyBorder="1" applyAlignment="1">
      <alignment horizontal="center" vertical="center"/>
    </xf>
    <xf numFmtId="0" fontId="19" fillId="19" borderId="70" xfId="0" applyFont="1" applyFill="1" applyBorder="1" applyAlignment="1">
      <alignment horizontal="center" vertical="center"/>
    </xf>
    <xf numFmtId="0" fontId="19" fillId="19" borderId="70" xfId="0" applyFont="1" applyFill="1" applyBorder="1" applyAlignment="1">
      <alignment horizontal="left" vertical="center"/>
    </xf>
    <xf numFmtId="1" fontId="19" fillId="19" borderId="70" xfId="0" applyNumberFormat="1" applyFont="1" applyFill="1" applyBorder="1" applyAlignment="1">
      <alignment horizontal="center" vertical="center"/>
    </xf>
    <xf numFmtId="4" fontId="19" fillId="19" borderId="70" xfId="0" applyNumberFormat="1" applyFont="1" applyFill="1" applyBorder="1" applyAlignment="1">
      <alignment horizontal="center" vertical="center"/>
    </xf>
    <xf numFmtId="4" fontId="19" fillId="19" borderId="71" xfId="0" applyNumberFormat="1" applyFont="1" applyFill="1" applyBorder="1" applyAlignment="1">
      <alignment horizontal="center" vertical="center"/>
    </xf>
    <xf numFmtId="0" fontId="19" fillId="16" borderId="45" xfId="0" applyFont="1" applyFill="1" applyBorder="1" applyAlignment="1">
      <alignment horizontal="center" vertical="center"/>
    </xf>
    <xf numFmtId="0" fontId="19" fillId="16" borderId="46" xfId="0" applyFont="1" applyFill="1" applyBorder="1" applyAlignment="1">
      <alignment horizontal="center" vertical="center"/>
    </xf>
    <xf numFmtId="0" fontId="19" fillId="16" borderId="46" xfId="0" applyFont="1" applyFill="1" applyBorder="1" applyAlignment="1">
      <alignment horizontal="left" vertical="center"/>
    </xf>
    <xf numFmtId="1" fontId="19" fillId="16" borderId="46" xfId="0" applyNumberFormat="1" applyFont="1" applyFill="1" applyBorder="1" applyAlignment="1">
      <alignment horizontal="center" vertical="center"/>
    </xf>
    <xf numFmtId="4" fontId="19" fillId="16" borderId="46" xfId="0" applyNumberFormat="1" applyFont="1" applyFill="1" applyBorder="1" applyAlignment="1">
      <alignment horizontal="center" vertical="center"/>
    </xf>
    <xf numFmtId="4" fontId="19" fillId="16" borderId="47" xfId="0" applyNumberFormat="1" applyFont="1" applyFill="1" applyBorder="1" applyAlignment="1">
      <alignment horizontal="center" vertical="center"/>
    </xf>
    <xf numFmtId="0" fontId="19" fillId="19" borderId="45" xfId="0" applyFont="1" applyFill="1" applyBorder="1" applyAlignment="1">
      <alignment horizontal="center" vertical="center"/>
    </xf>
    <xf numFmtId="0" fontId="19" fillId="19" borderId="46" xfId="0" applyFont="1" applyFill="1" applyBorder="1" applyAlignment="1">
      <alignment horizontal="center" vertical="center"/>
    </xf>
    <xf numFmtId="0" fontId="19" fillId="19" borderId="46" xfId="0" applyFont="1" applyFill="1" applyBorder="1" applyAlignment="1">
      <alignment horizontal="left" vertical="center"/>
    </xf>
    <xf numFmtId="1" fontId="19" fillId="19" borderId="46" xfId="0" applyNumberFormat="1" applyFont="1" applyFill="1" applyBorder="1" applyAlignment="1">
      <alignment horizontal="center" vertical="center"/>
    </xf>
    <xf numFmtId="4" fontId="19" fillId="19" borderId="46" xfId="0" applyNumberFormat="1" applyFont="1" applyFill="1" applyBorder="1" applyAlignment="1">
      <alignment horizontal="center" vertical="center"/>
    </xf>
    <xf numFmtId="4" fontId="19" fillId="19" borderId="47" xfId="0" applyNumberFormat="1" applyFont="1" applyFill="1" applyBorder="1" applyAlignment="1">
      <alignment horizontal="center" vertical="center"/>
    </xf>
    <xf numFmtId="0" fontId="19" fillId="16" borderId="72" xfId="0" applyFont="1" applyFill="1" applyBorder="1" applyAlignment="1">
      <alignment horizontal="center" vertical="center"/>
    </xf>
    <xf numFmtId="0" fontId="19" fillId="16" borderId="73" xfId="0" applyFont="1" applyFill="1" applyBorder="1" applyAlignment="1">
      <alignment horizontal="center" vertical="center"/>
    </xf>
    <xf numFmtId="0" fontId="19" fillId="16" borderId="73" xfId="0" applyFont="1" applyFill="1" applyBorder="1" applyAlignment="1">
      <alignment horizontal="left" vertical="center"/>
    </xf>
    <xf numFmtId="1" fontId="19" fillId="16" borderId="73" xfId="0" applyNumberFormat="1" applyFont="1" applyFill="1" applyBorder="1" applyAlignment="1">
      <alignment horizontal="center" vertical="center"/>
    </xf>
    <xf numFmtId="4" fontId="19" fillId="16" borderId="73" xfId="0" applyNumberFormat="1" applyFont="1" applyFill="1" applyBorder="1" applyAlignment="1">
      <alignment horizontal="center" vertical="center"/>
    </xf>
    <xf numFmtId="4" fontId="19" fillId="16" borderId="74" xfId="0" applyNumberFormat="1" applyFont="1" applyFill="1" applyBorder="1" applyAlignment="1">
      <alignment horizontal="center" vertical="center"/>
    </xf>
    <xf numFmtId="0" fontId="13" fillId="12" borderId="4" xfId="0" applyFont="1" applyFill="1" applyBorder="1" applyAlignment="1">
      <alignment horizontal="left" vertical="center"/>
    </xf>
    <xf numFmtId="0" fontId="3" fillId="9" borderId="6" xfId="0" applyFont="1" applyFill="1" applyBorder="1" applyAlignment="1">
      <alignment horizontal="center" vertical="center"/>
    </xf>
    <xf numFmtId="4" fontId="15" fillId="12" borderId="4" xfId="0" applyNumberFormat="1" applyFont="1" applyFill="1" applyBorder="1" applyAlignment="1">
      <alignment horizontal="center" vertical="center"/>
    </xf>
    <xf numFmtId="0" fontId="3" fillId="9" borderId="6" xfId="0" applyFont="1" applyFill="1" applyBorder="1" applyAlignment="1">
      <alignment horizontal="left" vertical="center"/>
    </xf>
    <xf numFmtId="4" fontId="11" fillId="12" borderId="4" xfId="0" applyNumberFormat="1" applyFont="1" applyFill="1" applyBorder="1" applyAlignment="1">
      <alignment horizontal="center" vertical="center"/>
    </xf>
    <xf numFmtId="4" fontId="11" fillId="16" borderId="4" xfId="0" applyNumberFormat="1" applyFont="1" applyFill="1" applyBorder="1" applyAlignment="1">
      <alignment horizontal="center" vertical="center"/>
    </xf>
    <xf numFmtId="0" fontId="18" fillId="12" borderId="4" xfId="0" applyFont="1" applyFill="1" applyBorder="1" applyAlignment="1">
      <alignment horizontal="left" vertical="center"/>
    </xf>
    <xf numFmtId="4" fontId="22" fillId="12" borderId="4" xfId="0" applyNumberFormat="1" applyFont="1" applyFill="1" applyBorder="1" applyAlignment="1">
      <alignment horizontal="center" vertical="center"/>
    </xf>
    <xf numFmtId="0" fontId="18" fillId="21" borderId="4" xfId="0" applyFont="1" applyFill="1" applyBorder="1" applyAlignment="1">
      <alignment horizontal="left" vertical="center"/>
    </xf>
    <xf numFmtId="0" fontId="18" fillId="16" borderId="4" xfId="0" applyFont="1" applyFill="1" applyBorder="1" applyAlignment="1">
      <alignment horizontal="left" vertical="center"/>
    </xf>
    <xf numFmtId="0" fontId="3" fillId="22" borderId="6" xfId="0" applyFont="1" applyFill="1" applyBorder="1" applyAlignment="1">
      <alignment horizontal="center" vertical="center"/>
    </xf>
    <xf numFmtId="0" fontId="3" fillId="22" borderId="4" xfId="0" applyFont="1" applyFill="1" applyBorder="1" applyAlignment="1">
      <alignment horizontal="left" vertical="center"/>
    </xf>
    <xf numFmtId="4" fontId="3" fillId="22" borderId="4" xfId="0" applyNumberFormat="1" applyFont="1" applyFill="1" applyBorder="1" applyAlignment="1">
      <alignment horizontal="center" vertical="center"/>
    </xf>
    <xf numFmtId="0" fontId="0" fillId="15" borderId="81" xfId="0" applyFill="1" applyBorder="1"/>
    <xf numFmtId="0" fontId="0" fillId="12" borderId="21" xfId="0" applyFill="1" applyBorder="1"/>
    <xf numFmtId="4" fontId="11" fillId="16" borderId="31" xfId="0" applyNumberFormat="1" applyFont="1" applyFill="1" applyBorder="1" applyAlignment="1">
      <alignment horizontal="center" vertical="center"/>
    </xf>
    <xf numFmtId="0" fontId="0" fillId="21" borderId="82" xfId="0" applyFill="1" applyBorder="1"/>
    <xf numFmtId="0" fontId="3" fillId="22" borderId="83" xfId="0" applyFont="1" applyFill="1" applyBorder="1" applyAlignment="1">
      <alignment horizontal="left" vertical="center"/>
    </xf>
    <xf numFmtId="0" fontId="0" fillId="22" borderId="83" xfId="0" applyFill="1" applyBorder="1"/>
    <xf numFmtId="0" fontId="0" fillId="17" borderId="84" xfId="0" applyFill="1" applyBorder="1"/>
    <xf numFmtId="0" fontId="3" fillId="9" borderId="25" xfId="0" applyFont="1" applyFill="1" applyBorder="1" applyAlignment="1">
      <alignment horizontal="left" vertical="center"/>
    </xf>
    <xf numFmtId="0" fontId="3" fillId="9" borderId="25" xfId="0" applyFont="1" applyFill="1" applyBorder="1" applyAlignment="1">
      <alignment horizontal="center" vertical="center"/>
    </xf>
    <xf numFmtId="0" fontId="14" fillId="16" borderId="31" xfId="0" applyFont="1" applyFill="1" applyBorder="1" applyAlignment="1">
      <alignment horizontal="left" vertical="center"/>
    </xf>
    <xf numFmtId="4" fontId="24" fillId="16" borderId="31" xfId="0" applyNumberFormat="1" applyFont="1" applyFill="1" applyBorder="1" applyAlignment="1">
      <alignment horizontal="center" vertical="center"/>
    </xf>
    <xf numFmtId="0" fontId="8" fillId="9" borderId="11" xfId="0" applyFont="1" applyFill="1" applyBorder="1" applyAlignment="1">
      <alignment horizontal="center" vertical="center"/>
    </xf>
    <xf numFmtId="0" fontId="8" fillId="9" borderId="11" xfId="0" applyFont="1" applyFill="1" applyBorder="1" applyAlignment="1">
      <alignment horizontal="left" vertical="center"/>
    </xf>
    <xf numFmtId="4" fontId="8" fillId="9" borderId="11" xfId="0" applyNumberFormat="1" applyFont="1" applyFill="1" applyBorder="1" applyAlignment="1">
      <alignment horizontal="center" vertical="center"/>
    </xf>
    <xf numFmtId="0" fontId="20" fillId="15" borderId="85" xfId="0" applyFont="1" applyFill="1" applyBorder="1" applyAlignment="1">
      <alignment horizontal="left" vertical="center" wrapText="1"/>
    </xf>
    <xf numFmtId="0" fontId="0" fillId="15" borderId="85" xfId="0" applyFill="1" applyBorder="1"/>
    <xf numFmtId="0" fontId="13" fillId="12" borderId="54" xfId="0" applyFont="1" applyFill="1" applyBorder="1" applyAlignment="1">
      <alignment horizontal="left" vertical="center"/>
    </xf>
    <xf numFmtId="0" fontId="13" fillId="12" borderId="46" xfId="0" applyFont="1" applyFill="1" applyBorder="1" applyAlignment="1">
      <alignment horizontal="left" vertical="center"/>
    </xf>
    <xf numFmtId="0" fontId="13" fillId="12" borderId="43" xfId="0" applyFont="1" applyFill="1" applyBorder="1" applyAlignment="1">
      <alignment horizontal="left" vertical="center"/>
    </xf>
    <xf numFmtId="0" fontId="3" fillId="10" borderId="67" xfId="0" applyFont="1" applyFill="1" applyBorder="1" applyAlignment="1">
      <alignment horizontal="left" vertical="center"/>
    </xf>
    <xf numFmtId="0" fontId="3" fillId="10" borderId="67" xfId="0" applyFont="1" applyFill="1" applyBorder="1" applyAlignment="1">
      <alignment horizontal="center" vertical="center"/>
    </xf>
    <xf numFmtId="0" fontId="3" fillId="10" borderId="86" xfId="0" applyFont="1" applyFill="1" applyBorder="1" applyAlignment="1">
      <alignment horizontal="center" vertical="center"/>
    </xf>
    <xf numFmtId="0" fontId="3" fillId="9" borderId="86" xfId="0" applyFont="1" applyFill="1" applyBorder="1" applyAlignment="1">
      <alignment horizontal="center" vertical="center"/>
    </xf>
    <xf numFmtId="0" fontId="0" fillId="0" borderId="87" xfId="0" applyBorder="1"/>
    <xf numFmtId="164" fontId="15" fillId="15" borderId="62" xfId="0" applyNumberFormat="1" applyFont="1" applyFill="1" applyBorder="1" applyAlignment="1">
      <alignment horizontal="center" vertical="center"/>
    </xf>
    <xf numFmtId="0" fontId="0" fillId="0" borderId="46" xfId="0" applyBorder="1"/>
    <xf numFmtId="2" fontId="15" fillId="15" borderId="46" xfId="0" applyNumberFormat="1" applyFont="1" applyFill="1" applyBorder="1" applyAlignment="1">
      <alignment horizontal="center" vertical="center"/>
    </xf>
    <xf numFmtId="0" fontId="0" fillId="0" borderId="49" xfId="0" applyBorder="1"/>
    <xf numFmtId="4" fontId="3" fillId="10" borderId="43" xfId="0" applyNumberFormat="1" applyFont="1" applyFill="1" applyBorder="1" applyAlignment="1">
      <alignment horizontal="center" vertical="center"/>
    </xf>
    <xf numFmtId="0" fontId="13" fillId="15" borderId="62" xfId="0" applyFont="1" applyFill="1" applyBorder="1" applyAlignment="1">
      <alignment horizontal="left" vertical="center"/>
    </xf>
    <xf numFmtId="0" fontId="8" fillId="10" borderId="43" xfId="0" applyFont="1" applyFill="1" applyBorder="1" applyAlignment="1">
      <alignment horizontal="left" vertical="center"/>
    </xf>
    <xf numFmtId="0" fontId="16" fillId="12" borderId="88" xfId="0" applyFont="1" applyFill="1" applyBorder="1" applyAlignment="1">
      <alignment horizontal="left" vertical="center" wrapText="1"/>
    </xf>
    <xf numFmtId="0" fontId="0" fillId="12" borderId="88" xfId="0" applyFill="1" applyBorder="1"/>
    <xf numFmtId="0" fontId="11" fillId="12" borderId="62" xfId="0" applyFont="1" applyFill="1" applyBorder="1" applyAlignment="1">
      <alignment horizontal="left" vertical="center"/>
    </xf>
    <xf numFmtId="0" fontId="11" fillId="12" borderId="43" xfId="0" applyFont="1" applyFill="1" applyBorder="1" applyAlignment="1">
      <alignment horizontal="left" vertical="center"/>
    </xf>
    <xf numFmtId="4" fontId="19" fillId="12" borderId="70" xfId="0" applyNumberFormat="1" applyFont="1" applyFill="1" applyBorder="1" applyAlignment="1">
      <alignment horizontal="center" vertical="center"/>
    </xf>
    <xf numFmtId="4" fontId="19" fillId="12" borderId="46" xfId="0" applyNumberFormat="1" applyFont="1" applyFill="1" applyBorder="1" applyAlignment="1">
      <alignment horizontal="center" vertical="center"/>
    </xf>
    <xf numFmtId="4" fontId="11" fillId="12" borderId="70" xfId="0" applyNumberFormat="1" applyFont="1" applyFill="1" applyBorder="1" applyAlignment="1">
      <alignment horizontal="center" vertical="center"/>
    </xf>
    <xf numFmtId="4" fontId="11" fillId="16" borderId="46" xfId="0" applyNumberFormat="1" applyFont="1" applyFill="1" applyBorder="1" applyAlignment="1">
      <alignment horizontal="center" vertical="center"/>
    </xf>
    <xf numFmtId="4" fontId="11" fillId="12" borderId="46" xfId="0" applyNumberFormat="1" applyFont="1" applyFill="1" applyBorder="1" applyAlignment="1">
      <alignment horizontal="center" vertical="center"/>
    </xf>
    <xf numFmtId="4" fontId="11" fillId="16" borderId="73" xfId="0" applyNumberFormat="1" applyFont="1" applyFill="1" applyBorder="1" applyAlignment="1">
      <alignment horizontal="center" vertical="center"/>
    </xf>
    <xf numFmtId="0" fontId="21" fillId="21" borderId="89" xfId="0" applyFont="1" applyFill="1" applyBorder="1" applyAlignment="1">
      <alignment horizontal="left" vertical="center" wrapText="1"/>
    </xf>
    <xf numFmtId="0" fontId="0" fillId="21" borderId="89" xfId="0" applyFill="1" applyBorder="1"/>
    <xf numFmtId="0" fontId="3" fillId="20" borderId="25" xfId="0" applyFont="1" applyFill="1" applyBorder="1" applyAlignment="1">
      <alignment horizontal="left" vertical="center"/>
    </xf>
    <xf numFmtId="0" fontId="18" fillId="12" borderId="90" xfId="0" applyFont="1" applyFill="1" applyBorder="1" applyAlignment="1">
      <alignment horizontal="left" vertical="center"/>
    </xf>
    <xf numFmtId="0" fontId="18" fillId="12" borderId="46" xfId="0" applyFont="1" applyFill="1" applyBorder="1" applyAlignment="1">
      <alignment horizontal="left" vertical="center"/>
    </xf>
    <xf numFmtId="0" fontId="18" fillId="12" borderId="43" xfId="0" applyFont="1" applyFill="1" applyBorder="1" applyAlignment="1">
      <alignment horizontal="left" vertical="center"/>
    </xf>
    <xf numFmtId="0" fontId="3" fillId="20" borderId="67" xfId="0" applyFont="1" applyFill="1" applyBorder="1" applyAlignment="1">
      <alignment horizontal="center" vertical="center"/>
    </xf>
    <xf numFmtId="0" fontId="3" fillId="20" borderId="86" xfId="0" applyFont="1" applyFill="1" applyBorder="1" applyAlignment="1">
      <alignment horizontal="center" vertical="center"/>
    </xf>
    <xf numFmtId="4" fontId="22" fillId="12" borderId="70" xfId="0" applyNumberFormat="1" applyFont="1" applyFill="1" applyBorder="1" applyAlignment="1">
      <alignment horizontal="center" vertical="center"/>
    </xf>
    <xf numFmtId="4" fontId="22" fillId="21" borderId="46" xfId="0" applyNumberFormat="1" applyFont="1" applyFill="1" applyBorder="1" applyAlignment="1">
      <alignment horizontal="center" vertical="center"/>
    </xf>
    <xf numFmtId="4" fontId="22" fillId="16" borderId="46" xfId="0" applyNumberFormat="1" applyFont="1" applyFill="1" applyBorder="1" applyAlignment="1">
      <alignment horizontal="center" vertical="center"/>
    </xf>
    <xf numFmtId="4" fontId="22" fillId="21" borderId="43" xfId="0" applyNumberFormat="1" applyFont="1" applyFill="1" applyBorder="1" applyAlignment="1">
      <alignment horizontal="center" vertical="center"/>
    </xf>
    <xf numFmtId="4" fontId="11" fillId="21" borderId="43" xfId="0" applyNumberFormat="1" applyFont="1" applyFill="1" applyBorder="1" applyAlignment="1">
      <alignment horizontal="center" vertical="center"/>
    </xf>
    <xf numFmtId="0" fontId="23" fillId="17" borderId="91" xfId="0" applyFont="1" applyFill="1" applyBorder="1" applyAlignment="1">
      <alignment horizontal="left" vertical="center" wrapText="1"/>
    </xf>
    <xf numFmtId="0" fontId="0" fillId="17" borderId="91" xfId="0" applyFill="1" applyBorder="1"/>
    <xf numFmtId="0" fontId="3" fillId="22" borderId="25" xfId="0" applyFont="1" applyFill="1" applyBorder="1" applyAlignment="1">
      <alignment horizontal="left" vertical="center"/>
    </xf>
    <xf numFmtId="0" fontId="3" fillId="22" borderId="25" xfId="0" applyFont="1" applyFill="1" applyBorder="1" applyAlignment="1">
      <alignment horizontal="center" vertical="center"/>
    </xf>
    <xf numFmtId="0" fontId="14" fillId="12" borderId="92" xfId="0" applyFont="1" applyFill="1" applyBorder="1" applyAlignment="1">
      <alignment horizontal="left" vertical="center"/>
    </xf>
    <xf numFmtId="0" fontId="14" fillId="12" borderId="93" xfId="0" applyFont="1" applyFill="1" applyBorder="1" applyAlignment="1">
      <alignment horizontal="left" vertical="center"/>
    </xf>
    <xf numFmtId="0" fontId="14" fillId="12" borderId="46" xfId="0" applyFont="1" applyFill="1" applyBorder="1" applyAlignment="1">
      <alignment horizontal="left" vertical="center"/>
    </xf>
    <xf numFmtId="0" fontId="14" fillId="12" borderId="43" xfId="0" applyFont="1" applyFill="1" applyBorder="1" applyAlignment="1">
      <alignment horizontal="left" vertical="center"/>
    </xf>
    <xf numFmtId="0" fontId="0" fillId="0" borderId="94" xfId="0" applyBorder="1"/>
    <xf numFmtId="0" fontId="3" fillId="18" borderId="95" xfId="0" applyFont="1" applyFill="1" applyBorder="1" applyAlignment="1">
      <alignment horizontal="center" vertical="center"/>
    </xf>
    <xf numFmtId="0" fontId="0" fillId="0" borderId="96" xfId="0" applyBorder="1"/>
    <xf numFmtId="0" fontId="3" fillId="20" borderId="97" xfId="0" applyFont="1" applyFill="1" applyBorder="1" applyAlignment="1">
      <alignment horizontal="center" vertical="center"/>
    </xf>
    <xf numFmtId="0" fontId="0" fillId="0" borderId="98" xfId="0" applyBorder="1"/>
    <xf numFmtId="0" fontId="3" fillId="10" borderId="59" xfId="0" applyFont="1" applyFill="1" applyBorder="1" applyAlignment="1">
      <alignment horizontal="center" vertical="center"/>
    </xf>
    <xf numFmtId="0" fontId="14" fillId="17" borderId="99" xfId="0" applyFont="1" applyFill="1" applyBorder="1" applyAlignment="1">
      <alignment horizontal="center" vertical="center"/>
    </xf>
    <xf numFmtId="0" fontId="14" fillId="17" borderId="99" xfId="0" applyFont="1" applyFill="1" applyBorder="1" applyAlignment="1">
      <alignment horizontal="left" vertical="center"/>
    </xf>
    <xf numFmtId="0" fontId="14" fillId="12" borderId="100" xfId="0" applyFont="1" applyFill="1" applyBorder="1" applyAlignment="1">
      <alignment horizontal="center" vertical="center"/>
    </xf>
    <xf numFmtId="0" fontId="14" fillId="12" borderId="100" xfId="0" applyFont="1" applyFill="1" applyBorder="1" applyAlignment="1">
      <alignment horizontal="left" vertical="center"/>
    </xf>
    <xf numFmtId="4" fontId="14" fillId="17" borderId="100" xfId="0" applyNumberFormat="1" applyFont="1" applyFill="1" applyBorder="1" applyAlignment="1">
      <alignment horizontal="center" vertical="center"/>
    </xf>
    <xf numFmtId="4" fontId="28" fillId="17" borderId="100" xfId="0" applyNumberFormat="1" applyFont="1" applyFill="1" applyBorder="1" applyAlignment="1">
      <alignment horizontal="center" vertical="center"/>
    </xf>
    <xf numFmtId="0" fontId="27" fillId="12" borderId="92" xfId="0" applyFont="1" applyFill="1" applyBorder="1" applyAlignment="1">
      <alignment horizontal="center" vertical="center"/>
    </xf>
    <xf numFmtId="0" fontId="9" fillId="12" borderId="92" xfId="0" applyFont="1" applyFill="1" applyBorder="1" applyAlignment="1">
      <alignment horizontal="center" vertical="center"/>
    </xf>
    <xf numFmtId="166" fontId="14" fillId="17" borderId="92" xfId="0" applyNumberFormat="1" applyFont="1" applyFill="1" applyBorder="1" applyAlignment="1">
      <alignment horizontal="center" vertical="center"/>
    </xf>
    <xf numFmtId="0" fontId="0" fillId="18" borderId="95" xfId="0" applyFill="1" applyBorder="1"/>
    <xf numFmtId="0" fontId="3" fillId="18" borderId="101" xfId="0" applyFont="1" applyFill="1" applyBorder="1" applyAlignment="1">
      <alignment horizontal="left" vertical="center"/>
    </xf>
    <xf numFmtId="0" fontId="3" fillId="18" borderId="101" xfId="0" applyFont="1" applyFill="1" applyBorder="1" applyAlignment="1">
      <alignment horizontal="center" vertical="center"/>
    </xf>
    <xf numFmtId="4" fontId="3" fillId="18" borderId="101" xfId="0" applyNumberFormat="1" applyFont="1" applyFill="1" applyBorder="1" applyAlignment="1">
      <alignment horizontal="center" vertical="center"/>
    </xf>
    <xf numFmtId="4" fontId="8" fillId="18" borderId="101" xfId="0" applyNumberFormat="1" applyFont="1" applyFill="1" applyBorder="1" applyAlignment="1">
      <alignment horizontal="center" vertical="center"/>
    </xf>
    <xf numFmtId="0" fontId="16" fillId="12" borderId="102" xfId="0" applyFont="1" applyFill="1" applyBorder="1" applyAlignment="1">
      <alignment horizontal="center" vertical="center"/>
    </xf>
    <xf numFmtId="4" fontId="25" fillId="14" borderId="102" xfId="0" applyNumberFormat="1" applyFont="1" applyFill="1" applyBorder="1" applyAlignment="1">
      <alignment horizontal="center" vertical="center"/>
    </xf>
    <xf numFmtId="0" fontId="16" fillId="12" borderId="46" xfId="0" applyFont="1" applyFill="1" applyBorder="1" applyAlignment="1">
      <alignment horizontal="center" vertical="center"/>
    </xf>
    <xf numFmtId="4" fontId="27" fillId="12" borderId="46" xfId="0" applyNumberFormat="1" applyFont="1" applyFill="1" applyBorder="1" applyAlignment="1">
      <alignment horizontal="center" vertical="center"/>
    </xf>
    <xf numFmtId="0" fontId="16" fillId="12" borderId="103" xfId="0" applyFont="1" applyFill="1" applyBorder="1" applyAlignment="1">
      <alignment horizontal="center" vertical="center"/>
    </xf>
    <xf numFmtId="4" fontId="27" fillId="16" borderId="103" xfId="0" applyNumberFormat="1" applyFont="1" applyFill="1" applyBorder="1" applyAlignment="1">
      <alignment horizontal="center" vertical="center"/>
    </xf>
    <xf numFmtId="0" fontId="17" fillId="14" borderId="102" xfId="0" applyFont="1" applyFill="1" applyBorder="1" applyAlignment="1">
      <alignment horizontal="left" vertical="center"/>
    </xf>
    <xf numFmtId="0" fontId="26" fillId="12" borderId="46" xfId="0" applyFont="1" applyFill="1" applyBorder="1" applyAlignment="1">
      <alignment horizontal="left" vertical="center"/>
    </xf>
    <xf numFmtId="0" fontId="26" fillId="16" borderId="103" xfId="0" applyFont="1" applyFill="1" applyBorder="1" applyAlignment="1">
      <alignment horizontal="left" vertical="center"/>
    </xf>
    <xf numFmtId="4" fontId="11" fillId="12" borderId="102" xfId="0" applyNumberFormat="1" applyFont="1" applyFill="1" applyBorder="1" applyAlignment="1">
      <alignment horizontal="center" vertical="center"/>
    </xf>
    <xf numFmtId="4" fontId="11" fillId="12" borderId="103" xfId="0" applyNumberFormat="1" applyFont="1" applyFill="1" applyBorder="1" applyAlignment="1">
      <alignment horizontal="center" vertical="center"/>
    </xf>
    <xf numFmtId="0" fontId="0" fillId="20" borderId="97" xfId="0" applyFill="1" applyBorder="1"/>
    <xf numFmtId="0" fontId="3" fillId="20" borderId="104" xfId="0" applyFont="1" applyFill="1" applyBorder="1" applyAlignment="1">
      <alignment horizontal="left" vertical="center"/>
    </xf>
    <xf numFmtId="0" fontId="3" fillId="20" borderId="104" xfId="0" applyFont="1" applyFill="1" applyBorder="1" applyAlignment="1">
      <alignment horizontal="center" vertical="center"/>
    </xf>
    <xf numFmtId="4" fontId="3" fillId="20" borderId="104" xfId="0" applyNumberFormat="1" applyFont="1" applyFill="1" applyBorder="1" applyAlignment="1">
      <alignment horizontal="center" vertical="center"/>
    </xf>
    <xf numFmtId="4" fontId="8" fillId="20" borderId="104" xfId="0" applyNumberFormat="1" applyFont="1" applyFill="1" applyBorder="1" applyAlignment="1">
      <alignment horizontal="center" vertical="center"/>
    </xf>
    <xf numFmtId="0" fontId="7" fillId="12" borderId="90" xfId="0" applyFont="1" applyFill="1" applyBorder="1" applyAlignment="1">
      <alignment horizontal="center" vertical="center"/>
    </xf>
    <xf numFmtId="4" fontId="22" fillId="21" borderId="90" xfId="0" applyNumberFormat="1" applyFont="1" applyFill="1" applyBorder="1" applyAlignment="1">
      <alignment horizontal="center" vertical="center"/>
    </xf>
    <xf numFmtId="0" fontId="7" fillId="12" borderId="46" xfId="0" applyFont="1" applyFill="1" applyBorder="1" applyAlignment="1">
      <alignment horizontal="center" vertical="center"/>
    </xf>
    <xf numFmtId="4" fontId="22" fillId="12" borderId="46" xfId="0" applyNumberFormat="1" applyFont="1" applyFill="1" applyBorder="1" applyAlignment="1">
      <alignment horizontal="center" vertical="center"/>
    </xf>
    <xf numFmtId="0" fontId="7" fillId="12" borderId="77" xfId="0" applyFont="1" applyFill="1" applyBorder="1" applyAlignment="1">
      <alignment horizontal="center" vertical="center"/>
    </xf>
    <xf numFmtId="4" fontId="27" fillId="16" borderId="77" xfId="0" applyNumberFormat="1" applyFont="1" applyFill="1" applyBorder="1" applyAlignment="1">
      <alignment horizontal="center" vertical="center"/>
    </xf>
    <xf numFmtId="0" fontId="18" fillId="21" borderId="90" xfId="0" applyFont="1" applyFill="1" applyBorder="1" applyAlignment="1">
      <alignment horizontal="left" vertical="center"/>
    </xf>
    <xf numFmtId="0" fontId="26" fillId="16" borderId="77" xfId="0" applyFont="1" applyFill="1" applyBorder="1" applyAlignment="1">
      <alignment horizontal="left" vertical="center"/>
    </xf>
    <xf numFmtId="4" fontId="11" fillId="12" borderId="90" xfId="0" applyNumberFormat="1" applyFont="1" applyFill="1" applyBorder="1" applyAlignment="1">
      <alignment horizontal="center" vertical="center"/>
    </xf>
    <xf numFmtId="4" fontId="11" fillId="12" borderId="77" xfId="0" applyNumberFormat="1" applyFont="1" applyFill="1" applyBorder="1" applyAlignment="1">
      <alignment horizontal="center" vertical="center"/>
    </xf>
    <xf numFmtId="0" fontId="3" fillId="10" borderId="53" xfId="0" applyFont="1" applyFill="1" applyBorder="1" applyAlignment="1">
      <alignment horizontal="left" vertical="center"/>
    </xf>
    <xf numFmtId="0" fontId="3" fillId="10" borderId="53" xfId="0" applyFont="1" applyFill="1" applyBorder="1" applyAlignment="1">
      <alignment horizontal="center" vertical="center"/>
    </xf>
    <xf numFmtId="4" fontId="3" fillId="10" borderId="53" xfId="0" applyNumberFormat="1" applyFont="1" applyFill="1" applyBorder="1" applyAlignment="1">
      <alignment horizontal="center" vertical="center"/>
    </xf>
    <xf numFmtId="4" fontId="8" fillId="10" borderId="53" xfId="0" applyNumberFormat="1" applyFont="1" applyFill="1" applyBorder="1" applyAlignment="1">
      <alignment horizontal="center" vertical="center"/>
    </xf>
    <xf numFmtId="0" fontId="7" fillId="12" borderId="54" xfId="0" applyFont="1" applyFill="1" applyBorder="1" applyAlignment="1">
      <alignment horizontal="center" vertical="center"/>
    </xf>
    <xf numFmtId="4" fontId="15" fillId="15" borderId="54" xfId="0" applyNumberFormat="1" applyFont="1" applyFill="1" applyBorder="1" applyAlignment="1">
      <alignment horizontal="center" vertical="center"/>
    </xf>
    <xf numFmtId="4" fontId="15" fillId="12" borderId="46" xfId="0" applyNumberFormat="1" applyFont="1" applyFill="1" applyBorder="1" applyAlignment="1">
      <alignment horizontal="center" vertical="center"/>
    </xf>
    <xf numFmtId="4" fontId="15" fillId="15" borderId="46" xfId="0" applyNumberFormat="1" applyFont="1" applyFill="1" applyBorder="1" applyAlignment="1">
      <alignment horizontal="center" vertical="center"/>
    </xf>
    <xf numFmtId="0" fontId="7" fillId="12" borderId="105" xfId="0" applyFont="1" applyFill="1" applyBorder="1" applyAlignment="1">
      <alignment horizontal="center" vertical="center"/>
    </xf>
    <xf numFmtId="4" fontId="15" fillId="12" borderId="105" xfId="0" applyNumberFormat="1" applyFont="1" applyFill="1" applyBorder="1" applyAlignment="1">
      <alignment horizontal="center" vertical="center"/>
    </xf>
    <xf numFmtId="0" fontId="13" fillId="15" borderId="54" xfId="0" applyFont="1" applyFill="1" applyBorder="1" applyAlignment="1">
      <alignment horizontal="left" vertical="center"/>
    </xf>
    <xf numFmtId="0" fontId="13" fillId="12" borderId="105" xfId="0" applyFont="1" applyFill="1" applyBorder="1" applyAlignment="1">
      <alignment horizontal="left" vertical="center"/>
    </xf>
    <xf numFmtId="4" fontId="11" fillId="12" borderId="54" xfId="0" applyNumberFormat="1" applyFont="1" applyFill="1" applyBorder="1" applyAlignment="1">
      <alignment horizontal="center" vertical="center"/>
    </xf>
    <xf numFmtId="4" fontId="11" fillId="12" borderId="105" xfId="0" applyNumberFormat="1" applyFont="1" applyFill="1" applyBorder="1" applyAlignment="1">
      <alignment horizontal="center" vertical="center"/>
    </xf>
    <xf numFmtId="0" fontId="7" fillId="12" borderId="62" xfId="0" applyFont="1" applyFill="1" applyBorder="1" applyAlignment="1">
      <alignment horizontal="center" vertical="center"/>
    </xf>
    <xf numFmtId="4" fontId="25" fillId="14" borderId="62" xfId="0" applyNumberFormat="1" applyFont="1" applyFill="1" applyBorder="1" applyAlignment="1">
      <alignment horizontal="center" vertical="center"/>
    </xf>
    <xf numFmtId="0" fontId="7" fillId="12" borderId="43" xfId="0" applyFont="1" applyFill="1" applyBorder="1" applyAlignment="1">
      <alignment horizontal="center" vertical="center"/>
    </xf>
    <xf numFmtId="4" fontId="15" fillId="15" borderId="43" xfId="0" applyNumberFormat="1" applyFont="1" applyFill="1" applyBorder="1" applyAlignment="1">
      <alignment horizontal="center" vertical="center"/>
    </xf>
    <xf numFmtId="0" fontId="17" fillId="14" borderId="62" xfId="0" applyFont="1" applyFill="1" applyBorder="1" applyAlignment="1">
      <alignment horizontal="left" vertical="center"/>
    </xf>
    <xf numFmtId="0" fontId="18" fillId="21" borderId="46" xfId="0" applyFont="1" applyFill="1" applyBorder="1" applyAlignment="1">
      <alignment horizontal="left" vertical="center"/>
    </xf>
    <xf numFmtId="0" fontId="13" fillId="15" borderId="43" xfId="0" applyFont="1" applyFill="1" applyBorder="1" applyAlignment="1">
      <alignment horizontal="left" vertical="center"/>
    </xf>
    <xf numFmtId="4" fontId="11" fillId="12" borderId="62" xfId="0" applyNumberFormat="1" applyFont="1" applyFill="1" applyBorder="1" applyAlignment="1">
      <alignment horizontal="center" vertical="center"/>
    </xf>
    <xf numFmtId="4" fontId="11" fillId="12" borderId="43" xfId="0" applyNumberFormat="1" applyFont="1" applyFill="1" applyBorder="1" applyAlignment="1">
      <alignment horizontal="center" vertical="center"/>
    </xf>
    <xf numFmtId="0" fontId="0" fillId="19" borderId="106" xfId="0" applyFill="1" applyBorder="1"/>
    <xf numFmtId="0" fontId="18" fillId="21" borderId="106" xfId="0" applyFont="1" applyFill="1" applyBorder="1" applyAlignment="1">
      <alignment horizontal="left" vertical="center"/>
    </xf>
    <xf numFmtId="0" fontId="0" fillId="21" borderId="106" xfId="0" applyFill="1" applyBorder="1"/>
    <xf numFmtId="0" fontId="13" fillId="15" borderId="106" xfId="0" applyFont="1" applyFill="1" applyBorder="1" applyAlignment="1">
      <alignment horizontal="left" vertical="center"/>
    </xf>
    <xf numFmtId="0" fontId="0" fillId="15" borderId="106" xfId="0" applyFill="1" applyBorder="1"/>
    <xf numFmtId="0" fontId="14" fillId="17" borderId="106" xfId="0" applyFont="1" applyFill="1" applyBorder="1" applyAlignment="1">
      <alignment horizontal="left" vertical="center"/>
    </xf>
    <xf numFmtId="0" fontId="0" fillId="17" borderId="106" xfId="0" applyFill="1" applyBorder="1"/>
    <xf numFmtId="0" fontId="16" fillId="19" borderId="106" xfId="0" applyFont="1" applyFill="1" applyBorder="1" applyAlignment="1">
      <alignment horizontal="right" vertical="center"/>
    </xf>
    <xf numFmtId="0" fontId="16" fillId="21" borderId="106" xfId="0" applyFont="1" applyFill="1" applyBorder="1" applyAlignment="1">
      <alignment horizontal="right" vertical="center"/>
    </xf>
    <xf numFmtId="0" fontId="16" fillId="15" borderId="106" xfId="0" applyFont="1" applyFill="1" applyBorder="1" applyAlignment="1">
      <alignment horizontal="right" vertical="center"/>
    </xf>
    <xf numFmtId="0" fontId="17" fillId="19" borderId="106" xfId="0" applyFont="1" applyFill="1" applyBorder="1" applyAlignment="1">
      <alignment horizontal="left" vertical="center"/>
    </xf>
    <xf numFmtId="0" fontId="16" fillId="17" borderId="106" xfId="0" applyFont="1" applyFill="1" applyBorder="1" applyAlignment="1">
      <alignment horizontal="right" vertical="center"/>
    </xf>
    <xf numFmtId="0" fontId="0" fillId="14" borderId="106" xfId="0" applyFill="1" applyBorder="1"/>
    <xf numFmtId="0" fontId="18" fillId="23" borderId="106" xfId="0" applyFont="1" applyFill="1" applyBorder="1" applyAlignment="1">
      <alignment horizontal="left" vertical="center"/>
    </xf>
    <xf numFmtId="0" fontId="0" fillId="23" borderId="106" xfId="0" applyFill="1" applyBorder="1"/>
    <xf numFmtId="0" fontId="16" fillId="14" borderId="106" xfId="0" applyFont="1" applyFill="1" applyBorder="1" applyAlignment="1">
      <alignment horizontal="right" vertical="center"/>
    </xf>
    <xf numFmtId="0" fontId="16" fillId="23" borderId="106" xfId="0" applyFont="1" applyFill="1" applyBorder="1" applyAlignment="1">
      <alignment horizontal="right" vertical="center"/>
    </xf>
    <xf numFmtId="0" fontId="11" fillId="14" borderId="106" xfId="0" applyFont="1" applyFill="1" applyBorder="1" applyAlignment="1">
      <alignment horizontal="left" vertical="center"/>
    </xf>
    <xf numFmtId="0" fontId="3" fillId="9" borderId="29" xfId="0" applyFont="1" applyFill="1" applyBorder="1" applyAlignment="1">
      <alignment horizontal="center" vertical="center"/>
    </xf>
    <xf numFmtId="4" fontId="5" fillId="6" borderId="107" xfId="0" applyNumberFormat="1" applyFont="1" applyFill="1" applyBorder="1" applyAlignment="1">
      <alignment horizontal="center" vertical="center"/>
    </xf>
    <xf numFmtId="4" fontId="5" fillId="6" borderId="46" xfId="0" applyNumberFormat="1" applyFont="1" applyFill="1" applyBorder="1" applyAlignment="1">
      <alignment horizontal="center" vertical="center"/>
    </xf>
    <xf numFmtId="4" fontId="5" fillId="6" borderId="43" xfId="0" applyNumberFormat="1" applyFont="1" applyFill="1" applyBorder="1" applyAlignment="1">
      <alignment horizontal="center" vertical="center"/>
    </xf>
    <xf numFmtId="0" fontId="11" fillId="12" borderId="107" xfId="0" applyFont="1" applyFill="1" applyBorder="1" applyAlignment="1">
      <alignment horizontal="center" vertical="center"/>
    </xf>
    <xf numFmtId="0" fontId="11" fillId="12" borderId="46" xfId="0" applyFont="1" applyFill="1" applyBorder="1" applyAlignment="1">
      <alignment horizontal="center" vertical="center"/>
    </xf>
    <xf numFmtId="0" fontId="11" fillId="12" borderId="43" xfId="0" applyFont="1" applyFill="1" applyBorder="1" applyAlignment="1">
      <alignment horizontal="center" vertical="center"/>
    </xf>
    <xf numFmtId="0" fontId="3" fillId="22" borderId="62" xfId="0" applyFont="1" applyFill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166" fontId="5" fillId="0" borderId="46" xfId="0" applyNumberFormat="1" applyFont="1" applyBorder="1" applyAlignment="1">
      <alignment horizontal="center" vertical="center"/>
    </xf>
    <xf numFmtId="166" fontId="5" fillId="0" borderId="43" xfId="0" applyNumberFormat="1" applyFont="1" applyBorder="1" applyAlignment="1">
      <alignment horizontal="center" vertical="center"/>
    </xf>
    <xf numFmtId="0" fontId="30" fillId="12" borderId="45" xfId="0" applyFont="1" applyFill="1" applyBorder="1" applyAlignment="1">
      <alignment horizontal="left" vertical="center" wrapText="1"/>
    </xf>
    <xf numFmtId="0" fontId="0" fillId="12" borderId="46" xfId="0" applyFill="1" applyBorder="1"/>
    <xf numFmtId="0" fontId="0" fillId="12" borderId="47" xfId="0" applyFill="1" applyBorder="1"/>
    <xf numFmtId="3" fontId="29" fillId="21" borderId="106" xfId="0" applyNumberFormat="1" applyFont="1" applyFill="1" applyBorder="1" applyAlignment="1">
      <alignment horizontal="center" vertical="center"/>
    </xf>
    <xf numFmtId="0" fontId="0" fillId="0" borderId="119" xfId="0" applyBorder="1"/>
    <xf numFmtId="0" fontId="0" fillId="0" borderId="120" xfId="0" applyBorder="1"/>
    <xf numFmtId="0" fontId="0" fillId="0" borderId="121" xfId="0" applyBorder="1"/>
    <xf numFmtId="0" fontId="0" fillId="0" borderId="122" xfId="0" applyBorder="1"/>
    <xf numFmtId="0" fontId="0" fillId="0" borderId="123" xfId="0" applyBorder="1"/>
    <xf numFmtId="166" fontId="29" fillId="17" borderId="106" xfId="0" applyNumberFormat="1" applyFont="1" applyFill="1" applyBorder="1" applyAlignment="1">
      <alignment horizontal="center" vertical="center"/>
    </xf>
    <xf numFmtId="166" fontId="29" fillId="15" borderId="106" xfId="0" applyNumberFormat="1" applyFont="1" applyFill="1" applyBorder="1" applyAlignment="1">
      <alignment horizontal="center" vertical="center"/>
    </xf>
    <xf numFmtId="3" fontId="29" fillId="14" borderId="106" xfId="0" applyNumberFormat="1" applyFont="1" applyFill="1" applyBorder="1" applyAlignment="1">
      <alignment horizontal="center" vertical="center"/>
    </xf>
    <xf numFmtId="3" fontId="29" fillId="15" borderId="106" xfId="0" applyNumberFormat="1" applyFont="1" applyFill="1" applyBorder="1" applyAlignment="1">
      <alignment horizontal="center" vertical="center"/>
    </xf>
    <xf numFmtId="3" fontId="29" fillId="17" borderId="106" xfId="0" applyNumberFormat="1" applyFont="1" applyFill="1" applyBorder="1" applyAlignment="1">
      <alignment horizontal="center" vertical="center"/>
    </xf>
    <xf numFmtId="3" fontId="29" fillId="19" borderId="106" xfId="0" applyNumberFormat="1" applyFont="1" applyFill="1" applyBorder="1" applyAlignment="1">
      <alignment horizontal="center" vertical="center"/>
    </xf>
    <xf numFmtId="166" fontId="29" fillId="23" borderId="106" xfId="0" applyNumberFormat="1" applyFont="1" applyFill="1" applyBorder="1" applyAlignment="1">
      <alignment horizontal="center" vertical="center"/>
    </xf>
    <xf numFmtId="0" fontId="5" fillId="16" borderId="46" xfId="0" applyFont="1" applyFill="1" applyBorder="1" applyAlignment="1">
      <alignment horizontal="left" vertical="center" wrapText="1"/>
    </xf>
    <xf numFmtId="0" fontId="0" fillId="0" borderId="110" xfId="0" applyBorder="1"/>
    <xf numFmtId="0" fontId="0" fillId="0" borderId="57" xfId="0" applyBorder="1"/>
    <xf numFmtId="0" fontId="5" fillId="13" borderId="46" xfId="0" applyFont="1" applyFill="1" applyBorder="1" applyAlignment="1">
      <alignment horizontal="left" vertical="center"/>
    </xf>
    <xf numFmtId="0" fontId="5" fillId="13" borderId="43" xfId="0" applyFont="1" applyFill="1" applyBorder="1" applyAlignment="1">
      <alignment horizontal="left" vertical="center"/>
    </xf>
    <xf numFmtId="0" fontId="0" fillId="0" borderId="108" xfId="0" applyBorder="1"/>
    <xf numFmtId="0" fontId="0" fillId="0" borderId="109" xfId="0" applyBorder="1"/>
    <xf numFmtId="0" fontId="6" fillId="13" borderId="22" xfId="0" applyFont="1" applyFill="1" applyBorder="1" applyAlignment="1">
      <alignment horizontal="left" vertical="center"/>
    </xf>
    <xf numFmtId="0" fontId="0" fillId="0" borderId="41" xfId="0" applyBorder="1"/>
    <xf numFmtId="0" fontId="6" fillId="13" borderId="5" xfId="0" applyFont="1" applyFill="1" applyBorder="1" applyAlignment="1">
      <alignment horizontal="left" vertical="center"/>
    </xf>
    <xf numFmtId="0" fontId="0" fillId="0" borderId="48" xfId="0" applyBorder="1"/>
    <xf numFmtId="0" fontId="6" fillId="13" borderId="38" xfId="0" applyFont="1" applyFill="1" applyBorder="1" applyAlignment="1">
      <alignment horizontal="left" vertical="center"/>
    </xf>
    <xf numFmtId="0" fontId="0" fillId="0" borderId="52" xfId="0" applyBorder="1"/>
    <xf numFmtId="0" fontId="5" fillId="13" borderId="93" xfId="0" applyFont="1" applyFill="1" applyBorder="1" applyAlignment="1">
      <alignment horizontal="left" vertical="center"/>
    </xf>
    <xf numFmtId="0" fontId="0" fillId="0" borderId="117" xfId="0" applyBorder="1"/>
    <xf numFmtId="0" fontId="0" fillId="0" borderId="118" xfId="0" applyBorder="1"/>
    <xf numFmtId="0" fontId="6" fillId="13" borderId="43" xfId="0" applyFont="1" applyFill="1" applyBorder="1" applyAlignment="1">
      <alignment horizontal="left" vertical="center"/>
    </xf>
    <xf numFmtId="0" fontId="5" fillId="13" borderId="62" xfId="0" applyFont="1" applyFill="1" applyBorder="1" applyAlignment="1">
      <alignment horizontal="left" vertical="center"/>
    </xf>
    <xf numFmtId="0" fontId="0" fillId="0" borderId="113" xfId="0" applyBorder="1"/>
    <xf numFmtId="0" fontId="0" fillId="0" borderId="114" xfId="0" applyBorder="1"/>
    <xf numFmtId="0" fontId="6" fillId="13" borderId="54" xfId="0" applyFont="1" applyFill="1" applyBorder="1" applyAlignment="1">
      <alignment horizontal="left" vertical="center"/>
    </xf>
    <xf numFmtId="0" fontId="0" fillId="0" borderId="111" xfId="0" applyBorder="1"/>
    <xf numFmtId="0" fontId="0" fillId="0" borderId="112" xfId="0" applyBorder="1"/>
    <xf numFmtId="0" fontId="6" fillId="13" borderId="46" xfId="0" applyFont="1" applyFill="1" applyBorder="1" applyAlignment="1">
      <alignment horizontal="left" vertical="center"/>
    </xf>
    <xf numFmtId="0" fontId="5" fillId="13" borderId="90" xfId="0" applyFont="1" applyFill="1" applyBorder="1" applyAlignment="1">
      <alignment horizontal="left" vertical="center"/>
    </xf>
    <xf numFmtId="0" fontId="0" fillId="0" borderId="115" xfId="0" applyBorder="1"/>
    <xf numFmtId="0" fontId="0" fillId="0" borderId="116" xfId="0" applyBorder="1"/>
  </cellXfs>
  <cellStyles count="1">
    <cellStyle name="Normal" xfId="0" builtinId="0"/>
  </cellStyles>
  <dxfs count="3">
    <dxf>
      <font>
        <b/>
        <color rgb="FFC55A11"/>
        <name val="Calibri"/>
        <charset val="1"/>
      </font>
      <fill>
        <patternFill>
          <bgColor rgb="FFFCE4D6"/>
        </patternFill>
      </fill>
    </dxf>
    <dxf>
      <font>
        <b/>
        <color rgb="FF7F6000"/>
        <name val="Calibri"/>
        <charset val="1"/>
      </font>
      <fill>
        <patternFill>
          <bgColor rgb="FFFFF2CC"/>
        </patternFill>
      </fill>
    </dxf>
    <dxf>
      <font>
        <b/>
        <color rgb="FF1A5733"/>
        <name val="Calibri"/>
        <charset val="1"/>
      </font>
      <fill>
        <patternFill>
          <bgColor rgb="FFE2EFDA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2F6FA"/>
      <rgbColor rgb="FF789142"/>
      <rgbColor rgb="FFEEF9F4"/>
      <rgbColor rgb="FFC7D6B1"/>
      <rgbColor rgb="FFEDE8FA"/>
      <rgbColor rgb="FF7997C4"/>
      <rgbColor rgb="FFA9C37E"/>
      <rgbColor rgb="FF0F6E56"/>
      <rgbColor rgb="FF000080"/>
      <rgbColor rgb="FF7F6000"/>
      <rgbColor rgb="FF745994"/>
      <rgbColor rgb="FF006B6B"/>
      <rgbColor rgb="FFBDB4CB"/>
      <rgbColor rgb="FF878787"/>
      <rgbColor rgb="FF8AACCC"/>
      <rgbColor rgb="FFB24543"/>
      <rgbColor rgb="FFFFFFC0"/>
      <rgbColor rgb="FFDDF5EE"/>
      <rgbColor rgb="FF3B1F6E"/>
      <rgbColor rgb="FFF5A574"/>
      <rgbColor rgb="FF4475B0"/>
      <rgbColor rgb="FFD9D9D9"/>
      <rgbColor rgb="FF000080"/>
      <rgbColor rgb="FFDDEEFF"/>
      <rgbColor rgb="FFFCE4D6"/>
      <rgbColor rgb="FFB0C4D8"/>
      <rgbColor rgb="FFC77978"/>
      <rgbColor rgb="FFEEF5FF"/>
      <rgbColor rgb="FF00698B"/>
      <rgbColor rgb="FFF9F9F9"/>
      <rgbColor rgb="FF77B6CC"/>
      <rgbColor rgb="FFE0F5F5"/>
      <rgbColor rgb="FFE2EFDA"/>
      <rgbColor rgb="FFFFF2CC"/>
      <rgbColor rgb="FFB0CFDC"/>
      <rgbColor rgb="FFD9B0B0"/>
      <rgbColor rgb="FFB0BED7"/>
      <rgbColor rgb="FFF6C4AE"/>
      <rgbColor rgb="FF378ADD"/>
      <rgbColor rgb="FF419FB7"/>
      <rgbColor rgb="FF8EAD4F"/>
      <rgbColor rgb="FFFFC000"/>
      <rgbColor rgb="FFE5883B"/>
      <rgbColor rgb="FFC55A11"/>
      <rgbColor rgb="FF5A6A7A"/>
      <rgbColor rgb="FF9684AF"/>
      <rgbColor rgb="FF003366"/>
      <rgbColor rgb="FF1D9E75"/>
      <rgbColor rgb="FF37859A"/>
      <rgbColor rgb="FF1A5733"/>
      <rgbColor rgb="FFC07332"/>
      <rgbColor rgb="FF624B7D"/>
      <rgbColor rgb="FF1F3864"/>
      <rgbColor rgb="FF374151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tr-TR"/>
  <c:roundedCorners val="1"/>
  <c:style val="2"/>
  <c:chart>
    <c:title>
      <c:tx>
        <c:rich>
          <a:bodyPr rot="0"/>
          <a:lstStyle/>
          <a:p>
            <a:pPr>
              <a:defRPr sz="1800" b="1" strike="noStrike" spc="-1">
                <a:solidFill>
                  <a:srgbClr val="000000"/>
                </a:solidFill>
                <a:latin typeface="Calibri"/>
              </a:defRPr>
            </a:pPr>
            <a:r>
              <a:rPr lang="tr-TR" sz="1800" b="1" strike="noStrike" spc="-1">
                <a:solidFill>
                  <a:srgbClr val="000000"/>
                </a:solidFill>
                <a:latin typeface="Calibri"/>
              </a:rPr>
              <a:t>Referans ET₀ (mm/ay) ve Aylık Yağış (mm)</a:t>
            </a:r>
          </a:p>
        </c:rich>
      </c:tx>
      <c:overlay val="0"/>
      <c:spPr>
        <a:noFill/>
        <a:ln w="0">
          <a:noFill/>
          <a:prstDash val="solid"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ET₀ (mm/ay)</c:v>
          </c:tx>
          <c:spPr>
            <a:ln w="24840">
              <a:solidFill>
                <a:srgbClr val="1D9E75"/>
              </a:solidFill>
              <a:prstDash val="solid"/>
              <a:round/>
            </a:ln>
          </c:spPr>
          <c:marker>
            <c:symbol val="none"/>
          </c:marker>
          <c:dLbls>
            <c:spPr>
              <a:noFill/>
              <a:ln>
                <a:noFill/>
                <a:prstDash val="solid"/>
              </a:ln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tr-TR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'🌤 Meteoroloji'!$C$26</c:f>
              <c:numCache>
                <c:formatCode>0.000</c:formatCode>
                <c:ptCount val="1"/>
                <c:pt idx="0">
                  <c:v>0.50692997088573177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70F8-864E-9641-94E61F407054}"/>
            </c:ext>
          </c:extLst>
        </c:ser>
        <c:ser>
          <c:idx val="1"/>
          <c:order val="1"/>
          <c:tx>
            <c:v>Yağış (mm/ay)</c:v>
          </c:tx>
          <c:spPr>
            <a:ln w="20160">
              <a:solidFill>
                <a:srgbClr val="378ADD"/>
              </a:solidFill>
              <a:prstDash val="solid"/>
              <a:round/>
            </a:ln>
          </c:spPr>
          <c:marker>
            <c:symbol val="none"/>
          </c:marker>
          <c:dLbls>
            <c:spPr>
              <a:noFill/>
              <a:ln>
                <a:noFill/>
                <a:prstDash val="solid"/>
              </a:ln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tr-TR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'🌤 Meteoroloji'!$D$26</c:f>
              <c:numCache>
                <c:formatCode>0.000</c:formatCode>
                <c:ptCount val="1"/>
                <c:pt idx="0">
                  <c:v>0.67643666999999996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70F8-864E-9641-94E61F407054}"/>
            </c:ext>
          </c:extLst>
        </c:ser>
        <c:ser>
          <c:idx val="2"/>
          <c:order val="2"/>
          <c:spPr>
            <a:ln w="47520">
              <a:solidFill>
                <a:srgbClr val="789142"/>
              </a:solidFill>
              <a:prstDash val="solid"/>
              <a:round/>
            </a:ln>
          </c:spPr>
          <c:marker>
            <c:symbol val="none"/>
          </c:marker>
          <c:dLbls>
            <c:spPr>
              <a:noFill/>
              <a:ln>
                <a:noFill/>
                <a:prstDash val="solid"/>
              </a:ln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tr-TR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'🌤 Meteoroloji'!$E$26</c:f>
              <c:numCache>
                <c:formatCode>0.000</c:formatCode>
                <c:ptCount val="1"/>
                <c:pt idx="0">
                  <c:v>1.224541000550158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70F8-864E-9641-94E61F407054}"/>
            </c:ext>
          </c:extLst>
        </c:ser>
        <c:ser>
          <c:idx val="3"/>
          <c:order val="3"/>
          <c:spPr>
            <a:ln w="47520">
              <a:solidFill>
                <a:srgbClr val="624B7D"/>
              </a:solidFill>
              <a:prstDash val="solid"/>
              <a:round/>
            </a:ln>
          </c:spPr>
          <c:marker>
            <c:symbol val="none"/>
          </c:marker>
          <c:dLbls>
            <c:spPr>
              <a:noFill/>
              <a:ln>
                <a:noFill/>
                <a:prstDash val="solid"/>
              </a:ln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tr-TR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'🌤 Meteoroloji'!$F$26</c:f>
              <c:numCache>
                <c:formatCode>0.000</c:formatCode>
                <c:ptCount val="1"/>
                <c:pt idx="0">
                  <c:v>1.9332285560600428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3-70F8-864E-9641-94E61F407054}"/>
            </c:ext>
          </c:extLst>
        </c:ser>
        <c:ser>
          <c:idx val="4"/>
          <c:order val="4"/>
          <c:spPr>
            <a:ln w="47520">
              <a:solidFill>
                <a:srgbClr val="37859A"/>
              </a:solidFill>
              <a:prstDash val="solid"/>
              <a:round/>
            </a:ln>
          </c:spPr>
          <c:marker>
            <c:symbol val="none"/>
          </c:marker>
          <c:dLbls>
            <c:spPr>
              <a:noFill/>
              <a:ln>
                <a:noFill/>
                <a:prstDash val="solid"/>
              </a:ln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tr-TR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'🌤 Meteoroloji'!$G$26</c:f>
              <c:numCache>
                <c:formatCode>0.000</c:formatCode>
                <c:ptCount val="1"/>
                <c:pt idx="0">
                  <c:v>3.0369515710152184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4-70F8-864E-9641-94E61F407054}"/>
            </c:ext>
          </c:extLst>
        </c:ser>
        <c:ser>
          <c:idx val="5"/>
          <c:order val="5"/>
          <c:spPr>
            <a:ln w="47520">
              <a:solidFill>
                <a:srgbClr val="C07332"/>
              </a:solidFill>
              <a:prstDash val="solid"/>
              <a:round/>
            </a:ln>
          </c:spPr>
          <c:marker>
            <c:symbol val="none"/>
          </c:marker>
          <c:dLbls>
            <c:spPr>
              <a:noFill/>
              <a:ln>
                <a:noFill/>
                <a:prstDash val="solid"/>
              </a:ln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tr-TR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'🌤 Meteoroloji'!$H$26</c:f>
              <c:numCache>
                <c:formatCode>0.000</c:formatCode>
                <c:ptCount val="1"/>
                <c:pt idx="0">
                  <c:v>3.9725532546805757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5-70F8-864E-9641-94E61F407054}"/>
            </c:ext>
          </c:extLst>
        </c:ser>
        <c:ser>
          <c:idx val="6"/>
          <c:order val="6"/>
          <c:spPr>
            <a:ln w="47520">
              <a:solidFill>
                <a:srgbClr val="4475B0"/>
              </a:solidFill>
              <a:prstDash val="solid"/>
              <a:round/>
            </a:ln>
          </c:spPr>
          <c:marker>
            <c:symbol val="none"/>
          </c:marker>
          <c:dLbls>
            <c:spPr>
              <a:noFill/>
              <a:ln>
                <a:noFill/>
                <a:prstDash val="solid"/>
              </a:ln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tr-TR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'🌤 Meteoroloji'!$I$26</c:f>
              <c:numCache>
                <c:formatCode>0.000</c:formatCode>
                <c:ptCount val="1"/>
                <c:pt idx="0">
                  <c:v>4.4211468232951887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6-70F8-864E-9641-94E61F407054}"/>
            </c:ext>
          </c:extLst>
        </c:ser>
        <c:ser>
          <c:idx val="7"/>
          <c:order val="7"/>
          <c:spPr>
            <a:ln w="47520">
              <a:solidFill>
                <a:srgbClr val="B24543"/>
              </a:solidFill>
              <a:prstDash val="solid"/>
              <a:round/>
            </a:ln>
          </c:spPr>
          <c:marker>
            <c:symbol val="none"/>
          </c:marker>
          <c:dLbls>
            <c:spPr>
              <a:noFill/>
              <a:ln>
                <a:noFill/>
                <a:prstDash val="solid"/>
              </a:ln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tr-TR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'🌤 Meteoroloji'!$J$26</c:f>
              <c:numCache>
                <c:formatCode>0.000</c:formatCode>
                <c:ptCount val="1"/>
                <c:pt idx="0">
                  <c:v>3.8314578117384408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7-70F8-864E-9641-94E61F407054}"/>
            </c:ext>
          </c:extLst>
        </c:ser>
        <c:ser>
          <c:idx val="8"/>
          <c:order val="8"/>
          <c:spPr>
            <a:ln w="47520">
              <a:solidFill>
                <a:srgbClr val="8EAD4F"/>
              </a:solidFill>
              <a:prstDash val="solid"/>
              <a:round/>
            </a:ln>
          </c:spPr>
          <c:marker>
            <c:symbol val="none"/>
          </c:marker>
          <c:dLbls>
            <c:spPr>
              <a:noFill/>
              <a:ln>
                <a:noFill/>
                <a:prstDash val="solid"/>
              </a:ln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tr-TR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'🌤 Meteoroloji'!$K$26</c:f>
              <c:numCache>
                <c:formatCode>0.000</c:formatCode>
                <c:ptCount val="1"/>
                <c:pt idx="0">
                  <c:v>2.6155784376674927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8-70F8-864E-9641-94E61F407054}"/>
            </c:ext>
          </c:extLst>
        </c:ser>
        <c:ser>
          <c:idx val="9"/>
          <c:order val="9"/>
          <c:spPr>
            <a:ln w="47520">
              <a:solidFill>
                <a:srgbClr val="745994"/>
              </a:solidFill>
              <a:prstDash val="solid"/>
              <a:round/>
            </a:ln>
          </c:spPr>
          <c:marker>
            <c:symbol val="none"/>
          </c:marker>
          <c:dLbls>
            <c:spPr>
              <a:noFill/>
              <a:ln>
                <a:noFill/>
                <a:prstDash val="solid"/>
              </a:ln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tr-TR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'🌤 Meteoroloji'!$L$26</c:f>
              <c:numCache>
                <c:formatCode>0.000</c:formatCode>
                <c:ptCount val="1"/>
                <c:pt idx="0">
                  <c:v>1.5615769486815287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9-70F8-864E-9641-94E61F407054}"/>
            </c:ext>
          </c:extLst>
        </c:ser>
        <c:ser>
          <c:idx val="10"/>
          <c:order val="10"/>
          <c:spPr>
            <a:ln w="47520">
              <a:solidFill>
                <a:srgbClr val="419FB7"/>
              </a:solidFill>
              <a:prstDash val="solid"/>
              <a:round/>
            </a:ln>
          </c:spPr>
          <c:marker>
            <c:symbol val="none"/>
          </c:marker>
          <c:dLbls>
            <c:spPr>
              <a:noFill/>
              <a:ln>
                <a:noFill/>
                <a:prstDash val="solid"/>
              </a:ln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tr-TR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'🌤 Meteoroloji'!$M$26</c:f>
              <c:numCache>
                <c:formatCode>0.000</c:formatCode>
                <c:ptCount val="1"/>
                <c:pt idx="0">
                  <c:v>0.7962123414127823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A-70F8-864E-9641-94E61F407054}"/>
            </c:ext>
          </c:extLst>
        </c:ser>
        <c:ser>
          <c:idx val="11"/>
          <c:order val="11"/>
          <c:spPr>
            <a:ln w="47520">
              <a:solidFill>
                <a:srgbClr val="E5883B"/>
              </a:solidFill>
              <a:prstDash val="solid"/>
              <a:round/>
            </a:ln>
          </c:spPr>
          <c:marker>
            <c:symbol val="none"/>
          </c:marker>
          <c:dLbls>
            <c:spPr>
              <a:noFill/>
              <a:ln>
                <a:noFill/>
                <a:prstDash val="solid"/>
              </a:ln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tr-TR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'🌤 Meteoroloji'!$N$26</c:f>
              <c:numCache>
                <c:formatCode>0.000</c:formatCode>
                <c:ptCount val="1"/>
                <c:pt idx="0">
                  <c:v>0.46228092941137089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B-70F8-864E-9641-94E61F407054}"/>
            </c:ext>
          </c:extLst>
        </c:ser>
        <c:ser>
          <c:idx val="12"/>
          <c:order val="12"/>
          <c:spPr>
            <a:ln w="47520">
              <a:solidFill>
                <a:srgbClr val="7997C4"/>
              </a:solidFill>
              <a:prstDash val="solid"/>
              <a:round/>
            </a:ln>
          </c:spPr>
          <c:marker>
            <c:symbol val="none"/>
          </c:marker>
          <c:dLbls>
            <c:spPr>
              <a:noFill/>
              <a:ln>
                <a:noFill/>
                <a:prstDash val="solid"/>
              </a:ln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tr-TR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'🌤 Meteoroloji'!$C$21</c:f>
              <c:numCache>
                <c:formatCode>0.00</c:formatCode>
                <c:ptCount val="1"/>
                <c:pt idx="0">
                  <c:v>110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C-70F8-864E-9641-94E61F407054}"/>
            </c:ext>
          </c:extLst>
        </c:ser>
        <c:ser>
          <c:idx val="13"/>
          <c:order val="13"/>
          <c:spPr>
            <a:ln w="47520">
              <a:solidFill>
                <a:srgbClr val="C77978"/>
              </a:solidFill>
              <a:prstDash val="solid"/>
              <a:round/>
            </a:ln>
          </c:spPr>
          <c:marker>
            <c:symbol val="none"/>
          </c:marker>
          <c:dLbls>
            <c:spPr>
              <a:noFill/>
              <a:ln>
                <a:noFill/>
                <a:prstDash val="solid"/>
              </a:ln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tr-TR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'🌤 Meteoroloji'!$D$21</c:f>
              <c:numCache>
                <c:formatCode>0.00</c:formatCode>
                <c:ptCount val="1"/>
                <c:pt idx="0">
                  <c:v>95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D-70F8-864E-9641-94E61F407054}"/>
            </c:ext>
          </c:extLst>
        </c:ser>
        <c:ser>
          <c:idx val="14"/>
          <c:order val="14"/>
          <c:spPr>
            <a:ln w="47520">
              <a:solidFill>
                <a:srgbClr val="A9C37E"/>
              </a:solidFill>
              <a:prstDash val="solid"/>
              <a:round/>
            </a:ln>
          </c:spPr>
          <c:marker>
            <c:symbol val="none"/>
          </c:marker>
          <c:dLbls>
            <c:spPr>
              <a:noFill/>
              <a:ln>
                <a:noFill/>
                <a:prstDash val="solid"/>
              </a:ln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tr-TR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'🌤 Meteoroloji'!$E$21</c:f>
              <c:numCache>
                <c:formatCode>0.00</c:formatCode>
                <c:ptCount val="1"/>
                <c:pt idx="0">
                  <c:v>72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E-70F8-864E-9641-94E61F407054}"/>
            </c:ext>
          </c:extLst>
        </c:ser>
        <c:ser>
          <c:idx val="15"/>
          <c:order val="15"/>
          <c:spPr>
            <a:ln w="47520">
              <a:solidFill>
                <a:srgbClr val="9684AF"/>
              </a:solidFill>
              <a:prstDash val="solid"/>
              <a:round/>
            </a:ln>
          </c:spPr>
          <c:marker>
            <c:symbol val="none"/>
          </c:marker>
          <c:dLbls>
            <c:spPr>
              <a:noFill/>
              <a:ln>
                <a:noFill/>
                <a:prstDash val="solid"/>
              </a:ln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tr-TR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'🌤 Meteoroloji'!$F$21</c:f>
              <c:numCache>
                <c:formatCode>0.00</c:formatCode>
                <c:ptCount val="1"/>
                <c:pt idx="0">
                  <c:v>45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F-70F8-864E-9641-94E61F407054}"/>
            </c:ext>
          </c:extLst>
        </c:ser>
        <c:ser>
          <c:idx val="16"/>
          <c:order val="16"/>
          <c:spPr>
            <a:ln w="47520">
              <a:solidFill>
                <a:srgbClr val="77B6CC"/>
              </a:solidFill>
              <a:prstDash val="solid"/>
              <a:round/>
            </a:ln>
          </c:spPr>
          <c:marker>
            <c:symbol val="none"/>
          </c:marker>
          <c:dLbls>
            <c:spPr>
              <a:noFill/>
              <a:ln>
                <a:noFill/>
                <a:prstDash val="solid"/>
              </a:ln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tr-TR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'🌤 Meteoroloji'!$G$21</c:f>
              <c:numCache>
                <c:formatCode>0.00</c:formatCode>
                <c:ptCount val="1"/>
                <c:pt idx="0">
                  <c:v>25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10-70F8-864E-9641-94E61F407054}"/>
            </c:ext>
          </c:extLst>
        </c:ser>
        <c:ser>
          <c:idx val="17"/>
          <c:order val="17"/>
          <c:spPr>
            <a:ln w="47520">
              <a:solidFill>
                <a:srgbClr val="F5A574"/>
              </a:solidFill>
              <a:prstDash val="solid"/>
              <a:round/>
            </a:ln>
          </c:spPr>
          <c:marker>
            <c:symbol val="none"/>
          </c:marker>
          <c:dLbls>
            <c:spPr>
              <a:noFill/>
              <a:ln>
                <a:noFill/>
                <a:prstDash val="solid"/>
              </a:ln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tr-TR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'🌤 Meteoroloji'!$H$21</c:f>
              <c:numCache>
                <c:formatCode>0.00</c:formatCode>
                <c:ptCount val="1"/>
                <c:pt idx="0">
                  <c:v>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11-70F8-864E-9641-94E61F407054}"/>
            </c:ext>
          </c:extLst>
        </c:ser>
        <c:ser>
          <c:idx val="18"/>
          <c:order val="18"/>
          <c:spPr>
            <a:ln w="47520">
              <a:solidFill>
                <a:srgbClr val="B0BED7"/>
              </a:solidFill>
              <a:prstDash val="solid"/>
              <a:round/>
            </a:ln>
          </c:spPr>
          <c:marker>
            <c:symbol val="none"/>
          </c:marker>
          <c:dLbls>
            <c:spPr>
              <a:noFill/>
              <a:ln>
                <a:noFill/>
                <a:prstDash val="solid"/>
              </a:ln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tr-TR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'🌤 Meteoroloji'!$I$21</c:f>
              <c:numCache>
                <c:formatCode>0.00</c:formatCode>
                <c:ptCount val="1"/>
                <c:pt idx="0">
                  <c:v>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12-70F8-864E-9641-94E61F407054}"/>
            </c:ext>
          </c:extLst>
        </c:ser>
        <c:ser>
          <c:idx val="19"/>
          <c:order val="19"/>
          <c:spPr>
            <a:ln w="47520">
              <a:solidFill>
                <a:srgbClr val="D9B0B0"/>
              </a:solidFill>
              <a:prstDash val="solid"/>
              <a:round/>
            </a:ln>
          </c:spPr>
          <c:marker>
            <c:symbol val="none"/>
          </c:marker>
          <c:dLbls>
            <c:spPr>
              <a:noFill/>
              <a:ln>
                <a:noFill/>
                <a:prstDash val="solid"/>
              </a:ln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tr-TR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'🌤 Meteoroloji'!$J$21</c:f>
              <c:numCache>
                <c:formatCode>0.00</c:formatCode>
                <c:ptCount val="1"/>
                <c:pt idx="0">
                  <c:v>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13-70F8-864E-9641-94E61F407054}"/>
            </c:ext>
          </c:extLst>
        </c:ser>
        <c:ser>
          <c:idx val="20"/>
          <c:order val="20"/>
          <c:spPr>
            <a:ln w="47520">
              <a:solidFill>
                <a:srgbClr val="C7D6B1"/>
              </a:solidFill>
              <a:prstDash val="solid"/>
              <a:round/>
            </a:ln>
          </c:spPr>
          <c:marker>
            <c:symbol val="none"/>
          </c:marker>
          <c:dLbls>
            <c:spPr>
              <a:noFill/>
              <a:ln>
                <a:noFill/>
                <a:prstDash val="solid"/>
              </a:ln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tr-TR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'🌤 Meteoroloji'!$K$21</c:f>
              <c:numCache>
                <c:formatCode>0.00</c:formatCode>
                <c:ptCount val="1"/>
                <c:pt idx="0">
                  <c:v>18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14-70F8-864E-9641-94E61F407054}"/>
            </c:ext>
          </c:extLst>
        </c:ser>
        <c:ser>
          <c:idx val="21"/>
          <c:order val="21"/>
          <c:spPr>
            <a:ln w="47520">
              <a:solidFill>
                <a:srgbClr val="BDB4CB"/>
              </a:solidFill>
              <a:prstDash val="solid"/>
              <a:round/>
            </a:ln>
          </c:spPr>
          <c:marker>
            <c:symbol val="none"/>
          </c:marker>
          <c:dLbls>
            <c:spPr>
              <a:noFill/>
              <a:ln>
                <a:noFill/>
                <a:prstDash val="solid"/>
              </a:ln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tr-TR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'🌤 Meteoroloji'!$L$21</c:f>
              <c:numCache>
                <c:formatCode>0.00</c:formatCode>
                <c:ptCount val="1"/>
                <c:pt idx="0">
                  <c:v>55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15-70F8-864E-9641-94E61F407054}"/>
            </c:ext>
          </c:extLst>
        </c:ser>
        <c:ser>
          <c:idx val="22"/>
          <c:order val="22"/>
          <c:spPr>
            <a:ln w="47520">
              <a:solidFill>
                <a:srgbClr val="B0CFDC"/>
              </a:solidFill>
              <a:prstDash val="solid"/>
              <a:round/>
            </a:ln>
          </c:spPr>
          <c:marker>
            <c:symbol val="none"/>
          </c:marker>
          <c:dLbls>
            <c:spPr>
              <a:noFill/>
              <a:ln>
                <a:noFill/>
                <a:prstDash val="solid"/>
              </a:ln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tr-TR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'🌤 Meteoroloji'!$M$21</c:f>
              <c:numCache>
                <c:formatCode>0.00</c:formatCode>
                <c:ptCount val="1"/>
                <c:pt idx="0">
                  <c:v>90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16-70F8-864E-9641-94E61F407054}"/>
            </c:ext>
          </c:extLst>
        </c:ser>
        <c:ser>
          <c:idx val="23"/>
          <c:order val="23"/>
          <c:spPr>
            <a:ln w="47520">
              <a:solidFill>
                <a:srgbClr val="F6C4AE"/>
              </a:solidFill>
              <a:prstDash val="solid"/>
              <a:round/>
            </a:ln>
          </c:spPr>
          <c:marker>
            <c:symbol val="none"/>
          </c:marker>
          <c:dLbls>
            <c:spPr>
              <a:noFill/>
              <a:ln>
                <a:noFill/>
                <a:prstDash val="solid"/>
              </a:ln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tr-TR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'🌤 Meteoroloji'!$N$21</c:f>
              <c:numCache>
                <c:formatCode>0.00</c:formatCode>
                <c:ptCount val="1"/>
                <c:pt idx="0">
                  <c:v>125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17-70F8-864E-9641-94E61F4070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0">
              <a:noFill/>
              <a:prstDash val="solid"/>
            </a:ln>
          </c:spPr>
        </c:hiLowLines>
        <c:smooth val="0"/>
        <c:axId val="30952745"/>
        <c:axId val="58528266"/>
      </c:lineChart>
      <c:catAx>
        <c:axId val="30952745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prstDash val="solid"/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tr-TR"/>
          </a:p>
        </c:txPr>
        <c:crossAx val="58528266"/>
        <c:crosses val="autoZero"/>
        <c:auto val="1"/>
        <c:lblAlgn val="ctr"/>
        <c:lblOffset val="100"/>
        <c:noMultiLvlLbl val="0"/>
      </c:catAx>
      <c:valAx>
        <c:axId val="58528266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prstDash val="solid"/>
              <a:round/>
            </a:ln>
          </c:spPr>
        </c:majorGridlines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prstDash val="solid"/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tr-TR"/>
          </a:p>
        </c:txPr>
        <c:crossAx val="30952745"/>
        <c:crosses val="autoZero"/>
        <c:crossBetween val="between"/>
      </c:valAx>
    </c:plotArea>
    <c:legend>
      <c:legendPos val="r"/>
      <c:overlay val="0"/>
      <c:spPr>
        <a:noFill/>
        <a:ln w="0">
          <a:noFill/>
          <a:prstDash val="solid"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Calibri"/>
            </a:defRPr>
          </a:pPr>
          <a:endParaRPr lang="tr-TR"/>
        </a:p>
      </c:txPr>
    </c:legend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tr-TR"/>
  <c:roundedCorners val="1"/>
  <c:style val="2"/>
  <c:chart>
    <c:title>
      <c:tx>
        <c:rich>
          <a:bodyPr rot="0"/>
          <a:lstStyle/>
          <a:p>
            <a:pPr>
              <a:defRPr sz="1800" b="1" strike="noStrike" spc="-1">
                <a:solidFill>
                  <a:srgbClr val="000000"/>
                </a:solidFill>
                <a:latin typeface="Calibri"/>
              </a:defRPr>
            </a:pPr>
            <a:r>
              <a:rPr lang="tr-TR" sz="1800" b="1" strike="noStrike" spc="-1">
                <a:solidFill>
                  <a:srgbClr val="000000"/>
                </a:solidFill>
                <a:latin typeface="Calibri"/>
              </a:rPr>
              <a:t>Aylık Su Dengesi (m³) — Çıkış + Buharlaşma + Kayıp</a:t>
            </a:r>
          </a:p>
        </c:rich>
      </c:tx>
      <c:overlay val="0"/>
      <c:spPr>
        <a:noFill/>
        <a:ln w="0">
          <a:noFill/>
          <a:prstDash val="solid"/>
        </a:ln>
      </c:sp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'📊 Dashboard'!$B$19</c:f>
              <c:strCache>
                <c:ptCount val="1"/>
                <c:pt idx="0">
                  <c:v>Giriş</c:v>
                </c:pt>
              </c:strCache>
            </c:strRef>
          </c:tx>
          <c:spPr>
            <a:solidFill>
              <a:srgbClr val="378ADD"/>
            </a:solidFill>
            <a:ln w="9360">
              <a:solidFill>
                <a:srgbClr val="F9F9F9"/>
              </a:solidFill>
              <a:prstDash val="solid"/>
              <a:round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tr-TR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'📊 Dashboard'!$A$20:$A$31</c:f>
              <c:strCache>
                <c:ptCount val="12"/>
                <c:pt idx="0">
                  <c:v>Oca</c:v>
                </c:pt>
                <c:pt idx="1">
                  <c:v>Şub</c:v>
                </c:pt>
                <c:pt idx="2">
                  <c:v>Mar</c:v>
                </c:pt>
                <c:pt idx="3">
                  <c:v>Nis</c:v>
                </c:pt>
                <c:pt idx="4">
                  <c:v>May</c:v>
                </c:pt>
                <c:pt idx="5">
                  <c:v>Haz</c:v>
                </c:pt>
                <c:pt idx="6">
                  <c:v>Tem</c:v>
                </c:pt>
                <c:pt idx="7">
                  <c:v>Ağu</c:v>
                </c:pt>
                <c:pt idx="8">
                  <c:v>Eyl</c:v>
                </c:pt>
                <c:pt idx="9">
                  <c:v>Eki</c:v>
                </c:pt>
                <c:pt idx="10">
                  <c:v>Kas</c:v>
                </c:pt>
                <c:pt idx="11">
                  <c:v>Ara</c:v>
                </c:pt>
              </c:strCache>
            </c:strRef>
          </c:cat>
          <c:val>
            <c:numRef>
              <c:f>'📊 Dashboard'!$B$20:$B$31</c:f>
              <c:numCache>
                <c:formatCode>#,##0.00</c:formatCode>
                <c:ptCount val="12"/>
                <c:pt idx="0">
                  <c:v>6650</c:v>
                </c:pt>
                <c:pt idx="1">
                  <c:v>6020</c:v>
                </c:pt>
                <c:pt idx="2">
                  <c:v>6430</c:v>
                </c:pt>
                <c:pt idx="3">
                  <c:v>6700</c:v>
                </c:pt>
                <c:pt idx="4">
                  <c:v>6880</c:v>
                </c:pt>
                <c:pt idx="5">
                  <c:v>7370</c:v>
                </c:pt>
                <c:pt idx="6">
                  <c:v>7900</c:v>
                </c:pt>
                <c:pt idx="7">
                  <c:v>8050</c:v>
                </c:pt>
                <c:pt idx="8">
                  <c:v>7550</c:v>
                </c:pt>
                <c:pt idx="9">
                  <c:v>7420</c:v>
                </c:pt>
                <c:pt idx="10">
                  <c:v>7030</c:v>
                </c:pt>
                <c:pt idx="11">
                  <c:v>7000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7F7-EA4D-8336-0C4782A42D09}"/>
            </c:ext>
          </c:extLst>
        </c:ser>
        <c:ser>
          <c:idx val="1"/>
          <c:order val="1"/>
          <c:tx>
            <c:strRef>
              <c:f>'📊 Dashboard'!$C$19</c:f>
              <c:strCache>
                <c:ptCount val="1"/>
                <c:pt idx="0">
                  <c:v>Çıkış</c:v>
                </c:pt>
              </c:strCache>
            </c:strRef>
          </c:tx>
          <c:spPr>
            <a:solidFill>
              <a:srgbClr val="1D9E75"/>
            </a:solidFill>
            <a:ln w="9360">
              <a:solidFill>
                <a:srgbClr val="F9F9F9"/>
              </a:solidFill>
              <a:prstDash val="solid"/>
              <a:round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tr-TR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'📊 Dashboard'!$A$20:$A$31</c:f>
              <c:strCache>
                <c:ptCount val="12"/>
                <c:pt idx="0">
                  <c:v>Oca</c:v>
                </c:pt>
                <c:pt idx="1">
                  <c:v>Şub</c:v>
                </c:pt>
                <c:pt idx="2">
                  <c:v>Mar</c:v>
                </c:pt>
                <c:pt idx="3">
                  <c:v>Nis</c:v>
                </c:pt>
                <c:pt idx="4">
                  <c:v>May</c:v>
                </c:pt>
                <c:pt idx="5">
                  <c:v>Haz</c:v>
                </c:pt>
                <c:pt idx="6">
                  <c:v>Tem</c:v>
                </c:pt>
                <c:pt idx="7">
                  <c:v>Ağu</c:v>
                </c:pt>
                <c:pt idx="8">
                  <c:v>Eyl</c:v>
                </c:pt>
                <c:pt idx="9">
                  <c:v>Eki</c:v>
                </c:pt>
                <c:pt idx="10">
                  <c:v>Kas</c:v>
                </c:pt>
                <c:pt idx="11">
                  <c:v>Ara</c:v>
                </c:pt>
              </c:strCache>
            </c:strRef>
          </c:cat>
          <c:val>
            <c:numRef>
              <c:f>'📊 Dashboard'!$C$20:$C$31</c:f>
              <c:numCache>
                <c:formatCode>#,##0.00</c:formatCode>
                <c:ptCount val="12"/>
                <c:pt idx="0">
                  <c:v>5893</c:v>
                </c:pt>
                <c:pt idx="1">
                  <c:v>5344</c:v>
                </c:pt>
                <c:pt idx="2">
                  <c:v>5800</c:v>
                </c:pt>
                <c:pt idx="3">
                  <c:v>6088</c:v>
                </c:pt>
                <c:pt idx="4">
                  <c:v>6358</c:v>
                </c:pt>
                <c:pt idx="5">
                  <c:v>6917</c:v>
                </c:pt>
                <c:pt idx="6">
                  <c:v>7470</c:v>
                </c:pt>
                <c:pt idx="7">
                  <c:v>7591</c:v>
                </c:pt>
                <c:pt idx="8">
                  <c:v>7011</c:v>
                </c:pt>
                <c:pt idx="9">
                  <c:v>6720</c:v>
                </c:pt>
                <c:pt idx="10">
                  <c:v>6277</c:v>
                </c:pt>
                <c:pt idx="11">
                  <c:v>6175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7F7-EA4D-8336-0C4782A42D09}"/>
            </c:ext>
          </c:extLst>
        </c:ser>
        <c:ser>
          <c:idx val="2"/>
          <c:order val="2"/>
          <c:tx>
            <c:strRef>
              <c:f>'📊 Dashboard'!$D$19</c:f>
              <c:strCache>
                <c:ptCount val="1"/>
                <c:pt idx="0">
                  <c:v>Buharlaşma</c:v>
                </c:pt>
              </c:strCache>
            </c:strRef>
          </c:tx>
          <c:spPr>
            <a:solidFill>
              <a:srgbClr val="0F6E56"/>
            </a:solidFill>
            <a:ln w="9360">
              <a:solidFill>
                <a:srgbClr val="F9F9F9"/>
              </a:solidFill>
              <a:prstDash val="solid"/>
              <a:round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tr-TR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'📊 Dashboard'!$A$20:$A$31</c:f>
              <c:strCache>
                <c:ptCount val="12"/>
                <c:pt idx="0">
                  <c:v>Oca</c:v>
                </c:pt>
                <c:pt idx="1">
                  <c:v>Şub</c:v>
                </c:pt>
                <c:pt idx="2">
                  <c:v>Mar</c:v>
                </c:pt>
                <c:pt idx="3">
                  <c:v>Nis</c:v>
                </c:pt>
                <c:pt idx="4">
                  <c:v>May</c:v>
                </c:pt>
                <c:pt idx="5">
                  <c:v>Haz</c:v>
                </c:pt>
                <c:pt idx="6">
                  <c:v>Tem</c:v>
                </c:pt>
                <c:pt idx="7">
                  <c:v>Ağu</c:v>
                </c:pt>
                <c:pt idx="8">
                  <c:v>Eyl</c:v>
                </c:pt>
                <c:pt idx="9">
                  <c:v>Eki</c:v>
                </c:pt>
                <c:pt idx="10">
                  <c:v>Kas</c:v>
                </c:pt>
                <c:pt idx="11">
                  <c:v>Ara</c:v>
                </c:pt>
              </c:strCache>
            </c:strRef>
          </c:cat>
          <c:val>
            <c:numRef>
              <c:f>'📊 Dashboard'!$D$20:$D$31</c:f>
              <c:numCache>
                <c:formatCode>#,##0.00</c:formatCode>
                <c:ptCount val="12"/>
                <c:pt idx="0">
                  <c:v>70.063485015000012</c:v>
                </c:pt>
                <c:pt idx="1">
                  <c:v>66.044194502475705</c:v>
                </c:pt>
                <c:pt idx="2">
                  <c:v>75.719048502270212</c:v>
                </c:pt>
                <c:pt idx="3">
                  <c:v>78.523882069568472</c:v>
                </c:pt>
                <c:pt idx="4">
                  <c:v>84.896009646062609</c:v>
                </c:pt>
                <c:pt idx="5">
                  <c:v>84.752760704828347</c:v>
                </c:pt>
                <c:pt idx="6">
                  <c:v>84.261080152822998</c:v>
                </c:pt>
                <c:pt idx="7">
                  <c:v>78.789622969503725</c:v>
                </c:pt>
                <c:pt idx="8">
                  <c:v>71.884696269066865</c:v>
                </c:pt>
                <c:pt idx="9">
                  <c:v>70.602475536357531</c:v>
                </c:pt>
                <c:pt idx="10">
                  <c:v>66.937864182351163</c:v>
                </c:pt>
                <c:pt idx="11">
                  <c:v>76.409105368274467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7F7-EA4D-8336-0C4782A42D09}"/>
            </c:ext>
          </c:extLst>
        </c:ser>
        <c:ser>
          <c:idx val="3"/>
          <c:order val="3"/>
          <c:tx>
            <c:strRef>
              <c:f>'📊 Dashboard'!$E$19</c:f>
              <c:strCache>
                <c:ptCount val="1"/>
                <c:pt idx="0">
                  <c:v>Kayıp</c:v>
                </c:pt>
              </c:strCache>
            </c:strRef>
          </c:tx>
          <c:spPr>
            <a:solidFill>
              <a:srgbClr val="FFC000"/>
            </a:solidFill>
            <a:ln w="9360">
              <a:solidFill>
                <a:srgbClr val="F9F9F9"/>
              </a:solidFill>
              <a:prstDash val="solid"/>
              <a:round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tr-TR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'📊 Dashboard'!$A$20:$A$31</c:f>
              <c:strCache>
                <c:ptCount val="12"/>
                <c:pt idx="0">
                  <c:v>Oca</c:v>
                </c:pt>
                <c:pt idx="1">
                  <c:v>Şub</c:v>
                </c:pt>
                <c:pt idx="2">
                  <c:v>Mar</c:v>
                </c:pt>
                <c:pt idx="3">
                  <c:v>Nis</c:v>
                </c:pt>
                <c:pt idx="4">
                  <c:v>May</c:v>
                </c:pt>
                <c:pt idx="5">
                  <c:v>Haz</c:v>
                </c:pt>
                <c:pt idx="6">
                  <c:v>Tem</c:v>
                </c:pt>
                <c:pt idx="7">
                  <c:v>Ağu</c:v>
                </c:pt>
                <c:pt idx="8">
                  <c:v>Eyl</c:v>
                </c:pt>
                <c:pt idx="9">
                  <c:v>Eki</c:v>
                </c:pt>
                <c:pt idx="10">
                  <c:v>Kas</c:v>
                </c:pt>
                <c:pt idx="11">
                  <c:v>Ara</c:v>
                </c:pt>
              </c:strCache>
            </c:strRef>
          </c:cat>
          <c:val>
            <c:numRef>
              <c:f>'📊 Dashboard'!$E$20:$E$31</c:f>
              <c:numCache>
                <c:formatCode>#,##0.00</c:formatCode>
                <c:ptCount val="12"/>
                <c:pt idx="0">
                  <c:v>686.93651498500003</c:v>
                </c:pt>
                <c:pt idx="1">
                  <c:v>609.95580549752435</c:v>
                </c:pt>
                <c:pt idx="2">
                  <c:v>554.2809514977298</c:v>
                </c:pt>
                <c:pt idx="3">
                  <c:v>533.47611793043154</c:v>
                </c:pt>
                <c:pt idx="4">
                  <c:v>437.10399035393738</c:v>
                </c:pt>
                <c:pt idx="5">
                  <c:v>368.24723929517165</c:v>
                </c:pt>
                <c:pt idx="6">
                  <c:v>345.73891984717699</c:v>
                </c:pt>
                <c:pt idx="7">
                  <c:v>380.21037703049626</c:v>
                </c:pt>
                <c:pt idx="8">
                  <c:v>467.11530373093314</c:v>
                </c:pt>
                <c:pt idx="9">
                  <c:v>629.39752446364241</c:v>
                </c:pt>
                <c:pt idx="10">
                  <c:v>686.06213581764882</c:v>
                </c:pt>
                <c:pt idx="11">
                  <c:v>748.59089463172552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7F7-EA4D-8336-0C4782A42D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1755480"/>
        <c:axId val="61594981"/>
      </c:barChart>
      <c:catAx>
        <c:axId val="1175548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prstDash val="solid"/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tr-TR"/>
          </a:p>
        </c:txPr>
        <c:crossAx val="61594981"/>
        <c:crosses val="autoZero"/>
        <c:auto val="1"/>
        <c:lblAlgn val="ctr"/>
        <c:lblOffset val="100"/>
        <c:noMultiLvlLbl val="0"/>
      </c:catAx>
      <c:valAx>
        <c:axId val="61594981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prstDash val="solid"/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tr-TR" sz="1000" b="1" strike="noStrike" spc="-1">
                    <a:solidFill>
                      <a:srgbClr val="000000"/>
                    </a:solidFill>
                    <a:latin typeface="Calibri"/>
                  </a:rPr>
                  <a:t>m³/ay</a:t>
                </a:r>
              </a:p>
            </c:rich>
          </c:tx>
          <c:overlay val="0"/>
          <c:spPr>
            <a:noFill/>
            <a:ln w="0">
              <a:noFill/>
              <a:prstDash val="solid"/>
            </a:ln>
          </c:spPr>
        </c:title>
        <c:numFmt formatCode="#,##0.00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prstDash val="solid"/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tr-TR"/>
          </a:p>
        </c:txPr>
        <c:crossAx val="11755480"/>
        <c:crosses val="autoZero"/>
        <c:crossBetween val="between"/>
      </c:valAx>
    </c:plotArea>
    <c:legend>
      <c:legendPos val="r"/>
      <c:overlay val="0"/>
      <c:spPr>
        <a:noFill/>
        <a:ln w="0">
          <a:noFill/>
          <a:prstDash val="solid"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Calibri"/>
            </a:defRPr>
          </a:pPr>
          <a:endParaRPr lang="tr-TR"/>
        </a:p>
      </c:txPr>
    </c:legend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tr-TR"/>
  <c:roundedCorners val="1"/>
  <c:style val="2"/>
  <c:chart>
    <c:title>
      <c:tx>
        <c:rich>
          <a:bodyPr rot="0"/>
          <a:lstStyle/>
          <a:p>
            <a:pPr>
              <a:defRPr sz="1800" b="1" strike="noStrike" spc="-1">
                <a:solidFill>
                  <a:srgbClr val="000000"/>
                </a:solidFill>
                <a:latin typeface="Calibri"/>
              </a:defRPr>
            </a:pPr>
            <a:r>
              <a:rPr lang="tr-TR" sz="1800" b="1" strike="noStrike" spc="-1">
                <a:solidFill>
                  <a:srgbClr val="000000"/>
                </a:solidFill>
                <a:latin typeface="Calibri"/>
              </a:rPr>
              <a:t>Aylık Kayıp Oranı (%) — Fark/Giriş</a:t>
            </a:r>
          </a:p>
        </c:rich>
      </c:tx>
      <c:overlay val="0"/>
      <c:spPr>
        <a:noFill/>
        <a:ln w="0">
          <a:noFill/>
          <a:prstDash val="solid"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'📊 Dashboard'!$H$33</c:f>
              <c:strCache>
                <c:ptCount val="1"/>
                <c:pt idx="0">
                  <c:v>Kayıp %</c:v>
                </c:pt>
              </c:strCache>
            </c:strRef>
          </c:tx>
          <c:spPr>
            <a:ln w="24840">
              <a:solidFill>
                <a:srgbClr val="FFC000"/>
              </a:solidFill>
              <a:prstDash val="solid"/>
              <a:round/>
            </a:ln>
          </c:spPr>
          <c:marker>
            <c:symbol val="none"/>
          </c:marker>
          <c:dLbls>
            <c:spPr>
              <a:noFill/>
              <a:ln>
                <a:noFill/>
                <a:prstDash val="solid"/>
              </a:ln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tr-TR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'📊 Dashboard'!$G$34:$G$45</c:f>
              <c:strCache>
                <c:ptCount val="12"/>
                <c:pt idx="0">
                  <c:v>Oca</c:v>
                </c:pt>
                <c:pt idx="1">
                  <c:v>Şub</c:v>
                </c:pt>
                <c:pt idx="2">
                  <c:v>Mar</c:v>
                </c:pt>
                <c:pt idx="3">
                  <c:v>Nis</c:v>
                </c:pt>
                <c:pt idx="4">
                  <c:v>May</c:v>
                </c:pt>
                <c:pt idx="5">
                  <c:v>Haz</c:v>
                </c:pt>
                <c:pt idx="6">
                  <c:v>Tem</c:v>
                </c:pt>
                <c:pt idx="7">
                  <c:v>Ağu</c:v>
                </c:pt>
                <c:pt idx="8">
                  <c:v>Eyl</c:v>
                </c:pt>
                <c:pt idx="9">
                  <c:v>Eki</c:v>
                </c:pt>
                <c:pt idx="10">
                  <c:v>Kas</c:v>
                </c:pt>
                <c:pt idx="11">
                  <c:v>Ara</c:v>
                </c:pt>
              </c:strCache>
            </c:strRef>
          </c:cat>
          <c:val>
            <c:numRef>
              <c:f>'📊 Dashboard'!$H$34:$H$45</c:f>
              <c:numCache>
                <c:formatCode>0.0%</c:formatCode>
                <c:ptCount val="12"/>
                <c:pt idx="0">
                  <c:v>0.10329872405789474</c:v>
                </c:pt>
                <c:pt idx="1">
                  <c:v>0.10132156237500405</c:v>
                </c:pt>
                <c:pt idx="2">
                  <c:v>8.6202325271808683E-2</c:v>
                </c:pt>
                <c:pt idx="3">
                  <c:v>7.9623301183646494E-2</c:v>
                </c:pt>
                <c:pt idx="4">
                  <c:v>6.3532556737490892E-2</c:v>
                </c:pt>
                <c:pt idx="5">
                  <c:v>4.9965704110606739E-2</c:v>
                </c:pt>
                <c:pt idx="6">
                  <c:v>4.3764420233819872E-2</c:v>
                </c:pt>
                <c:pt idx="7">
                  <c:v>4.7231102736707609E-2</c:v>
                </c:pt>
                <c:pt idx="8">
                  <c:v>6.1869576653103726E-2</c:v>
                </c:pt>
                <c:pt idx="9">
                  <c:v>8.4824464213428902E-2</c:v>
                </c:pt>
                <c:pt idx="10">
                  <c:v>9.7590630984018323E-2</c:v>
                </c:pt>
                <c:pt idx="11">
                  <c:v>0.10694155637596078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1571-014E-9B2D-CB138BFDA5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0">
              <a:noFill/>
              <a:prstDash val="solid"/>
            </a:ln>
          </c:spPr>
        </c:hiLowLines>
        <c:smooth val="0"/>
        <c:axId val="69992739"/>
        <c:axId val="59506298"/>
      </c:lineChart>
      <c:catAx>
        <c:axId val="69992739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prstDash val="solid"/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tr-TR"/>
          </a:p>
        </c:txPr>
        <c:crossAx val="59506298"/>
        <c:crosses val="autoZero"/>
        <c:auto val="1"/>
        <c:lblAlgn val="ctr"/>
        <c:lblOffset val="100"/>
        <c:noMultiLvlLbl val="0"/>
      </c:catAx>
      <c:valAx>
        <c:axId val="59506298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prstDash val="solid"/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tr-TR" sz="1000" b="1" strike="noStrike" spc="-1">
                    <a:solidFill>
                      <a:srgbClr val="000000"/>
                    </a:solidFill>
                    <a:latin typeface="Calibri"/>
                  </a:rPr>
                  <a:t>Kayıp Oranı</a:t>
                </a:r>
              </a:p>
            </c:rich>
          </c:tx>
          <c:overlay val="0"/>
          <c:spPr>
            <a:noFill/>
            <a:ln w="0">
              <a:noFill/>
              <a:prstDash val="solid"/>
            </a:ln>
          </c:spPr>
        </c:title>
        <c:numFmt formatCode="0%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prstDash val="solid"/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tr-TR"/>
          </a:p>
        </c:txPr>
        <c:crossAx val="69992739"/>
        <c:crosses val="autoZero"/>
        <c:crossBetween val="between"/>
      </c:valAx>
    </c:plotArea>
    <c:legend>
      <c:legendPos val="r"/>
      <c:overlay val="0"/>
      <c:spPr>
        <a:noFill/>
        <a:ln w="0">
          <a:noFill/>
          <a:prstDash val="solid"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Calibri"/>
            </a:defRPr>
          </a:pPr>
          <a:endParaRPr lang="tr-TR"/>
        </a:p>
      </c:txPr>
    </c:legend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27</xdr:row>
      <xdr:rowOff>0</xdr:rowOff>
    </xdr:from>
    <xdr:to>
      <xdr:col>13</xdr:col>
      <xdr:colOff>352080</xdr:colOff>
      <xdr:row>49</xdr:row>
      <xdr:rowOff>127800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32</xdr:row>
      <xdr:rowOff>0</xdr:rowOff>
    </xdr:from>
    <xdr:to>
      <xdr:col>8</xdr:col>
      <xdr:colOff>236160</xdr:colOff>
      <xdr:row>55</xdr:row>
      <xdr:rowOff>133560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8</xdr:col>
      <xdr:colOff>0</xdr:colOff>
      <xdr:row>32</xdr:row>
      <xdr:rowOff>0</xdr:rowOff>
    </xdr:from>
    <xdr:to>
      <xdr:col>14</xdr:col>
      <xdr:colOff>542880</xdr:colOff>
      <xdr:row>55</xdr:row>
      <xdr:rowOff>133560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8"/>
  <sheetViews>
    <sheetView showGridLines="0" zoomScaleNormal="100" workbookViewId="0">
      <selection activeCell="C8" sqref="C8:E8"/>
    </sheetView>
  </sheetViews>
  <sheetFormatPr baseColWidth="10" defaultColWidth="8.6640625" defaultRowHeight="15" x14ac:dyDescent="0.2"/>
  <cols>
    <col min="1" max="1" width="5" customWidth="1"/>
    <col min="2" max="2" width="32" customWidth="1"/>
    <col min="3" max="3" width="18" customWidth="1"/>
    <col min="4" max="4" width="16" customWidth="1"/>
    <col min="5" max="5" width="18" customWidth="1"/>
    <col min="6" max="6" width="16" customWidth="1"/>
    <col min="7" max="7" width="18" customWidth="1"/>
    <col min="8" max="8" width="16" customWidth="1"/>
    <col min="9" max="15" width="12" customWidth="1"/>
  </cols>
  <sheetData>
    <row r="1" spans="1:15" ht="27.75" customHeight="1" thickBot="1" x14ac:dyDescent="0.25">
      <c r="A1" s="11" t="s">
        <v>33</v>
      </c>
      <c r="B1" s="12"/>
      <c r="C1" s="12"/>
      <c r="D1" s="12"/>
      <c r="E1" s="12"/>
      <c r="F1" s="12"/>
      <c r="G1" s="12"/>
      <c r="H1" s="13"/>
      <c r="I1" s="9"/>
      <c r="J1" s="1"/>
      <c r="K1" s="1"/>
      <c r="L1" s="1"/>
      <c r="M1" s="1"/>
      <c r="N1" s="1"/>
      <c r="O1" s="1"/>
    </row>
    <row r="2" spans="1:15" ht="13.5" customHeight="1" x14ac:dyDescent="0.2">
      <c r="A2" s="14" t="s">
        <v>34</v>
      </c>
      <c r="B2" s="15"/>
      <c r="C2" s="15"/>
      <c r="D2" s="15"/>
      <c r="E2" s="15"/>
      <c r="F2" s="15"/>
      <c r="G2" s="15"/>
      <c r="H2" s="16"/>
      <c r="I2" s="10"/>
      <c r="J2" s="2"/>
      <c r="K2" s="2"/>
      <c r="L2" s="2"/>
      <c r="M2" s="2"/>
      <c r="N2" s="2"/>
      <c r="O2" s="2"/>
    </row>
    <row r="3" spans="1:15" ht="7.5" customHeight="1" x14ac:dyDescent="0.2">
      <c r="A3" s="18"/>
      <c r="B3" s="18"/>
      <c r="C3" s="18"/>
      <c r="D3" s="18"/>
      <c r="E3" s="18"/>
      <c r="F3" s="18"/>
      <c r="G3" s="18"/>
      <c r="H3" s="18"/>
    </row>
    <row r="4" spans="1:15" ht="15.75" customHeight="1" x14ac:dyDescent="0.2">
      <c r="A4" s="24" t="s">
        <v>35</v>
      </c>
      <c r="B4" s="25"/>
      <c r="C4" s="25"/>
      <c r="D4" s="25"/>
      <c r="E4" s="21"/>
      <c r="F4" s="21"/>
      <c r="G4" s="21"/>
      <c r="H4" s="22"/>
      <c r="I4" s="17"/>
      <c r="J4" s="3"/>
      <c r="K4" s="3"/>
      <c r="L4" s="3"/>
      <c r="M4" s="3"/>
      <c r="N4" s="3"/>
      <c r="O4" s="3"/>
    </row>
    <row r="5" spans="1:15" ht="19.5" customHeight="1" x14ac:dyDescent="0.2">
      <c r="A5" s="55"/>
      <c r="B5" s="54" t="s">
        <v>36</v>
      </c>
      <c r="C5" s="384" t="s">
        <v>37</v>
      </c>
      <c r="D5" s="385"/>
      <c r="E5" s="386"/>
    </row>
    <row r="6" spans="1:15" ht="19.5" customHeight="1" x14ac:dyDescent="0.2">
      <c r="A6" s="57"/>
      <c r="B6" s="56" t="s">
        <v>38</v>
      </c>
      <c r="C6" s="383" t="s">
        <v>39</v>
      </c>
      <c r="D6" s="381"/>
      <c r="E6" s="382"/>
    </row>
    <row r="7" spans="1:15" ht="19.5" customHeight="1" x14ac:dyDescent="0.2">
      <c r="A7" s="57"/>
      <c r="B7" s="56" t="s">
        <v>40</v>
      </c>
      <c r="C7" s="383" t="s">
        <v>41</v>
      </c>
      <c r="D7" s="381"/>
      <c r="E7" s="382"/>
    </row>
    <row r="8" spans="1:15" ht="19.5" customHeight="1" x14ac:dyDescent="0.2">
      <c r="A8" s="57"/>
      <c r="B8" s="56" t="s">
        <v>42</v>
      </c>
      <c r="C8" s="383">
        <v>25000</v>
      </c>
      <c r="D8" s="381"/>
      <c r="E8" s="382"/>
    </row>
    <row r="9" spans="1:15" ht="19.5" customHeight="1" x14ac:dyDescent="0.2">
      <c r="A9" s="57"/>
      <c r="B9" s="56" t="s">
        <v>43</v>
      </c>
      <c r="C9" s="383">
        <v>120</v>
      </c>
      <c r="D9" s="381"/>
      <c r="E9" s="382"/>
    </row>
    <row r="10" spans="1:15" ht="19.5" customHeight="1" x14ac:dyDescent="0.2">
      <c r="A10" s="57"/>
      <c r="B10" s="56" t="s">
        <v>44</v>
      </c>
      <c r="C10" s="383">
        <v>2025</v>
      </c>
      <c r="D10" s="381"/>
      <c r="E10" s="382"/>
    </row>
    <row r="11" spans="1:15" ht="19.5" customHeight="1" x14ac:dyDescent="0.2">
      <c r="A11" s="57"/>
      <c r="B11" s="56" t="s">
        <v>45</v>
      </c>
      <c r="C11" s="383" t="s">
        <v>46</v>
      </c>
      <c r="D11" s="381"/>
      <c r="E11" s="382"/>
    </row>
    <row r="12" spans="1:15" ht="19.5" customHeight="1" x14ac:dyDescent="0.2">
      <c r="A12" s="57"/>
      <c r="B12" s="56" t="s">
        <v>47</v>
      </c>
      <c r="C12" s="383" t="s">
        <v>48</v>
      </c>
      <c r="D12" s="381"/>
      <c r="E12" s="382"/>
    </row>
    <row r="13" spans="1:15" ht="7.5" customHeight="1" x14ac:dyDescent="0.2"/>
    <row r="14" spans="1:15" ht="15.75" customHeight="1" x14ac:dyDescent="0.2">
      <c r="A14" s="24" t="s">
        <v>49</v>
      </c>
      <c r="B14" s="25"/>
      <c r="C14" s="25"/>
      <c r="D14" s="25"/>
      <c r="E14" s="25"/>
      <c r="F14" s="25"/>
      <c r="G14" s="21"/>
      <c r="H14" s="22"/>
      <c r="I14" s="17"/>
      <c r="J14" s="3"/>
      <c r="K14" s="3"/>
      <c r="L14" s="3"/>
      <c r="M14" s="3"/>
      <c r="N14" s="3"/>
      <c r="O14" s="3"/>
    </row>
    <row r="15" spans="1:15" ht="25.5" customHeight="1" x14ac:dyDescent="0.2">
      <c r="A15" s="27"/>
      <c r="B15" s="27" t="s">
        <v>50</v>
      </c>
      <c r="C15" s="27" t="s">
        <v>51</v>
      </c>
      <c r="D15" s="27" t="s">
        <v>52</v>
      </c>
      <c r="E15" s="27" t="s">
        <v>53</v>
      </c>
      <c r="F15" s="27" t="s">
        <v>51</v>
      </c>
    </row>
    <row r="16" spans="1:15" ht="15.75" customHeight="1" x14ac:dyDescent="0.2">
      <c r="A16" s="28" t="s">
        <v>54</v>
      </c>
      <c r="B16" s="44"/>
      <c r="C16" s="44"/>
      <c r="D16" s="44"/>
      <c r="E16" s="44"/>
      <c r="F16" s="44"/>
      <c r="G16" s="29"/>
      <c r="H16" s="29"/>
      <c r="I16" s="26"/>
      <c r="J16" s="4"/>
      <c r="K16" s="4"/>
      <c r="L16" s="4"/>
      <c r="M16" s="4"/>
      <c r="N16" s="4"/>
      <c r="O16" s="4"/>
    </row>
    <row r="17" spans="1:15" ht="19.5" customHeight="1" x14ac:dyDescent="0.2">
      <c r="B17" s="48" t="s">
        <v>55</v>
      </c>
      <c r="C17" s="47" t="s">
        <v>56</v>
      </c>
      <c r="D17" s="47" t="s">
        <v>57</v>
      </c>
      <c r="E17" s="46" t="s">
        <v>58</v>
      </c>
      <c r="F17" s="42" t="s">
        <v>59</v>
      </c>
    </row>
    <row r="18" spans="1:15" ht="19.5" customHeight="1" x14ac:dyDescent="0.2">
      <c r="B18" s="49" t="s">
        <v>60</v>
      </c>
      <c r="C18" s="45" t="s">
        <v>61</v>
      </c>
      <c r="D18" s="45" t="s">
        <v>62</v>
      </c>
      <c r="E18" s="46" t="s">
        <v>58</v>
      </c>
      <c r="F18" s="42" t="s">
        <v>59</v>
      </c>
    </row>
    <row r="19" spans="1:15" ht="19.5" customHeight="1" x14ac:dyDescent="0.2">
      <c r="B19" s="48" t="s">
        <v>63</v>
      </c>
      <c r="C19" s="47" t="s">
        <v>64</v>
      </c>
      <c r="D19" s="47" t="s">
        <v>65</v>
      </c>
      <c r="E19" s="46" t="s">
        <v>58</v>
      </c>
      <c r="F19" s="42" t="s">
        <v>66</v>
      </c>
    </row>
    <row r="20" spans="1:15" ht="19.5" customHeight="1" x14ac:dyDescent="0.2">
      <c r="B20" s="49" t="s">
        <v>67</v>
      </c>
      <c r="C20" s="45" t="s">
        <v>68</v>
      </c>
      <c r="D20" s="45" t="s">
        <v>69</v>
      </c>
      <c r="E20" s="46" t="s">
        <v>58</v>
      </c>
      <c r="F20" s="42" t="s">
        <v>70</v>
      </c>
    </row>
    <row r="21" spans="1:15" ht="19.5" customHeight="1" x14ac:dyDescent="0.2">
      <c r="B21" s="48" t="s">
        <v>71</v>
      </c>
      <c r="C21" s="47" t="s">
        <v>72</v>
      </c>
      <c r="D21" s="47" t="s">
        <v>73</v>
      </c>
      <c r="E21" s="46" t="s">
        <v>74</v>
      </c>
      <c r="F21" s="42" t="s">
        <v>75</v>
      </c>
    </row>
    <row r="22" spans="1:15" ht="19.5" customHeight="1" x14ac:dyDescent="0.2">
      <c r="B22" s="49" t="s">
        <v>76</v>
      </c>
      <c r="C22" s="45" t="s">
        <v>77</v>
      </c>
      <c r="D22" s="45" t="s">
        <v>78</v>
      </c>
      <c r="E22" s="46" t="s">
        <v>74</v>
      </c>
      <c r="F22" s="42" t="s">
        <v>70</v>
      </c>
    </row>
    <row r="23" spans="1:15" ht="15.75" customHeight="1" x14ac:dyDescent="0.2">
      <c r="A23" s="28" t="s">
        <v>79</v>
      </c>
      <c r="B23" s="50"/>
      <c r="C23" s="51"/>
      <c r="D23" s="51"/>
      <c r="E23" s="51"/>
      <c r="F23" s="51"/>
      <c r="G23" s="29"/>
      <c r="H23" s="29"/>
      <c r="I23" s="26"/>
      <c r="J23" s="4"/>
      <c r="K23" s="4"/>
      <c r="L23" s="4"/>
      <c r="M23" s="4"/>
      <c r="N23" s="4"/>
      <c r="O23" s="4"/>
    </row>
    <row r="24" spans="1:15" ht="19.5" customHeight="1" x14ac:dyDescent="0.2">
      <c r="B24" s="49" t="s">
        <v>80</v>
      </c>
      <c r="C24" s="45" t="s">
        <v>81</v>
      </c>
      <c r="D24" s="45" t="s">
        <v>82</v>
      </c>
      <c r="E24" s="46" t="s">
        <v>58</v>
      </c>
      <c r="F24" s="42" t="s">
        <v>66</v>
      </c>
    </row>
    <row r="25" spans="1:15" ht="19.5" customHeight="1" x14ac:dyDescent="0.2">
      <c r="B25" s="48" t="s">
        <v>83</v>
      </c>
      <c r="C25" s="47" t="s">
        <v>84</v>
      </c>
      <c r="D25" s="47" t="s">
        <v>85</v>
      </c>
      <c r="E25" s="46" t="s">
        <v>58</v>
      </c>
      <c r="F25" s="42" t="s">
        <v>66</v>
      </c>
    </row>
    <row r="26" spans="1:15" ht="19.5" customHeight="1" x14ac:dyDescent="0.2">
      <c r="B26" s="49" t="s">
        <v>86</v>
      </c>
      <c r="C26" s="45" t="s">
        <v>87</v>
      </c>
      <c r="D26" s="45" t="s">
        <v>88</v>
      </c>
      <c r="E26" s="46" t="s">
        <v>58</v>
      </c>
      <c r="F26" s="42" t="s">
        <v>89</v>
      </c>
    </row>
    <row r="27" spans="1:15" ht="19.5" customHeight="1" x14ac:dyDescent="0.2">
      <c r="B27" s="48" t="s">
        <v>90</v>
      </c>
      <c r="C27" s="47" t="s">
        <v>91</v>
      </c>
      <c r="D27" s="47" t="s">
        <v>92</v>
      </c>
      <c r="E27" s="46" t="s">
        <v>58</v>
      </c>
      <c r="F27" s="42" t="s">
        <v>93</v>
      </c>
    </row>
    <row r="28" spans="1:15" ht="19.5" customHeight="1" x14ac:dyDescent="0.2">
      <c r="B28" s="49" t="s">
        <v>94</v>
      </c>
      <c r="C28" s="45" t="s">
        <v>95</v>
      </c>
      <c r="D28" s="45" t="s">
        <v>96</v>
      </c>
      <c r="E28" s="46" t="s">
        <v>74</v>
      </c>
      <c r="F28" s="42" t="s">
        <v>59</v>
      </c>
    </row>
    <row r="29" spans="1:15" ht="19.5" customHeight="1" x14ac:dyDescent="0.2">
      <c r="B29" s="48" t="s">
        <v>97</v>
      </c>
      <c r="C29" s="47" t="s">
        <v>98</v>
      </c>
      <c r="D29" s="47" t="s">
        <v>99</v>
      </c>
      <c r="E29" s="46" t="s">
        <v>58</v>
      </c>
      <c r="F29" s="42" t="s">
        <v>89</v>
      </c>
    </row>
    <row r="30" spans="1:15" ht="15.75" customHeight="1" x14ac:dyDescent="0.2">
      <c r="A30" s="28" t="s">
        <v>100</v>
      </c>
      <c r="B30" s="50"/>
      <c r="C30" s="51"/>
      <c r="D30" s="51"/>
      <c r="E30" s="51"/>
      <c r="F30" s="51"/>
      <c r="G30" s="29"/>
      <c r="H30" s="29"/>
      <c r="I30" s="26"/>
      <c r="J30" s="4"/>
      <c r="K30" s="4"/>
      <c r="L30" s="4"/>
      <c r="M30" s="4"/>
      <c r="N30" s="4"/>
      <c r="O30" s="4"/>
    </row>
    <row r="31" spans="1:15" ht="19.5" customHeight="1" x14ac:dyDescent="0.2">
      <c r="B31" s="48" t="s">
        <v>101</v>
      </c>
      <c r="C31" s="47" t="s">
        <v>102</v>
      </c>
      <c r="D31" s="47" t="s">
        <v>103</v>
      </c>
      <c r="E31" s="46" t="s">
        <v>74</v>
      </c>
      <c r="F31" s="42" t="s">
        <v>104</v>
      </c>
    </row>
    <row r="32" spans="1:15" ht="19.5" customHeight="1" x14ac:dyDescent="0.2">
      <c r="B32" s="49" t="s">
        <v>105</v>
      </c>
      <c r="C32" s="45" t="s">
        <v>106</v>
      </c>
      <c r="D32" s="45" t="s">
        <v>107</v>
      </c>
      <c r="E32" s="46" t="s">
        <v>58</v>
      </c>
      <c r="F32" s="42" t="s">
        <v>104</v>
      </c>
    </row>
    <row r="33" spans="1:15" ht="19.5" customHeight="1" x14ac:dyDescent="0.2">
      <c r="B33" s="48" t="s">
        <v>108</v>
      </c>
      <c r="C33" s="47" t="s">
        <v>109</v>
      </c>
      <c r="D33" s="47" t="s">
        <v>110</v>
      </c>
      <c r="E33" s="46" t="s">
        <v>74</v>
      </c>
      <c r="F33" s="42" t="s">
        <v>104</v>
      </c>
    </row>
    <row r="34" spans="1:15" ht="19.5" customHeight="1" x14ac:dyDescent="0.2">
      <c r="B34" s="49" t="s">
        <v>111</v>
      </c>
      <c r="C34" s="45" t="s">
        <v>112</v>
      </c>
      <c r="D34" s="45" t="s">
        <v>113</v>
      </c>
      <c r="E34" s="46" t="s">
        <v>58</v>
      </c>
      <c r="F34" s="42" t="s">
        <v>114</v>
      </c>
    </row>
    <row r="35" spans="1:15" ht="19.5" customHeight="1" x14ac:dyDescent="0.2">
      <c r="B35" s="48" t="s">
        <v>115</v>
      </c>
      <c r="C35" s="47" t="s">
        <v>116</v>
      </c>
      <c r="D35" s="47" t="s">
        <v>117</v>
      </c>
      <c r="E35" s="46" t="s">
        <v>74</v>
      </c>
      <c r="F35" s="42" t="s">
        <v>93</v>
      </c>
    </row>
    <row r="36" spans="1:15" ht="15.75" customHeight="1" x14ac:dyDescent="0.2">
      <c r="A36" s="28" t="s">
        <v>118</v>
      </c>
      <c r="B36" s="50"/>
      <c r="C36" s="51"/>
      <c r="D36" s="51"/>
      <c r="E36" s="51"/>
      <c r="F36" s="51"/>
      <c r="G36" s="29"/>
      <c r="H36" s="29"/>
      <c r="I36" s="26"/>
      <c r="J36" s="4"/>
      <c r="K36" s="4"/>
      <c r="L36" s="4"/>
      <c r="M36" s="4"/>
      <c r="N36" s="4"/>
      <c r="O36" s="4"/>
    </row>
    <row r="37" spans="1:15" ht="19.5" customHeight="1" x14ac:dyDescent="0.2">
      <c r="B37" s="48" t="s">
        <v>119</v>
      </c>
      <c r="C37" s="47" t="s">
        <v>120</v>
      </c>
      <c r="D37" s="47" t="s">
        <v>121</v>
      </c>
      <c r="E37" s="46" t="s">
        <v>58</v>
      </c>
      <c r="F37" s="42" t="s">
        <v>122</v>
      </c>
    </row>
    <row r="38" spans="1:15" ht="19.5" customHeight="1" x14ac:dyDescent="0.2">
      <c r="B38" s="49" t="s">
        <v>123</v>
      </c>
      <c r="C38" s="45" t="s">
        <v>124</v>
      </c>
      <c r="D38" s="45" t="s">
        <v>125</v>
      </c>
      <c r="E38" s="46" t="s">
        <v>58</v>
      </c>
      <c r="F38" s="42" t="s">
        <v>70</v>
      </c>
    </row>
    <row r="39" spans="1:15" ht="19.5" customHeight="1" x14ac:dyDescent="0.2">
      <c r="B39" s="48" t="s">
        <v>126</v>
      </c>
      <c r="C39" s="47" t="s">
        <v>127</v>
      </c>
      <c r="D39" s="47" t="s">
        <v>128</v>
      </c>
      <c r="E39" s="46" t="s">
        <v>74</v>
      </c>
      <c r="F39" s="42" t="s">
        <v>70</v>
      </c>
    </row>
    <row r="40" spans="1:15" ht="7.5" customHeight="1" x14ac:dyDescent="0.2">
      <c r="A40" s="36"/>
      <c r="B40" s="36"/>
      <c r="C40" s="36"/>
      <c r="D40" s="36"/>
      <c r="E40" s="36"/>
      <c r="F40" s="36"/>
      <c r="G40" s="36"/>
      <c r="H40" s="36"/>
    </row>
    <row r="41" spans="1:15" ht="15.75" customHeight="1" x14ac:dyDescent="0.2">
      <c r="A41" s="34" t="s">
        <v>129</v>
      </c>
      <c r="B41" s="52"/>
      <c r="C41" s="52"/>
      <c r="D41" s="52"/>
      <c r="E41" s="52"/>
      <c r="F41" s="52"/>
      <c r="G41" s="52"/>
      <c r="H41" s="35"/>
      <c r="I41" s="30"/>
      <c r="J41" s="5"/>
      <c r="K41" s="5"/>
      <c r="L41" s="5"/>
      <c r="M41" s="5"/>
      <c r="N41" s="5"/>
      <c r="O41" s="5"/>
    </row>
    <row r="42" spans="1:15" ht="18" customHeight="1" x14ac:dyDescent="0.2">
      <c r="B42" s="53" t="s">
        <v>59</v>
      </c>
      <c r="C42" s="380" t="s">
        <v>130</v>
      </c>
      <c r="D42" s="381"/>
      <c r="E42" s="381"/>
      <c r="F42" s="381"/>
      <c r="G42" s="381"/>
      <c r="H42" s="382"/>
    </row>
    <row r="43" spans="1:15" ht="18" customHeight="1" x14ac:dyDescent="0.2">
      <c r="B43" s="53" t="s">
        <v>131</v>
      </c>
      <c r="C43" s="380" t="s">
        <v>132</v>
      </c>
      <c r="D43" s="381"/>
      <c r="E43" s="381"/>
      <c r="F43" s="381"/>
      <c r="G43" s="381"/>
      <c r="H43" s="382"/>
    </row>
    <row r="44" spans="1:15" ht="18" customHeight="1" x14ac:dyDescent="0.2">
      <c r="B44" s="53" t="s">
        <v>133</v>
      </c>
      <c r="C44" s="380" t="s">
        <v>134</v>
      </c>
      <c r="D44" s="381"/>
      <c r="E44" s="381"/>
      <c r="F44" s="381"/>
      <c r="G44" s="381"/>
      <c r="H44" s="382"/>
    </row>
    <row r="45" spans="1:15" ht="18" customHeight="1" x14ac:dyDescent="0.2">
      <c r="B45" s="53" t="s">
        <v>104</v>
      </c>
      <c r="C45" s="380" t="s">
        <v>135</v>
      </c>
      <c r="D45" s="381"/>
      <c r="E45" s="381"/>
      <c r="F45" s="381"/>
      <c r="G45" s="381"/>
      <c r="H45" s="382"/>
    </row>
    <row r="46" spans="1:15" ht="18" customHeight="1" x14ac:dyDescent="0.2">
      <c r="B46" s="53" t="s">
        <v>114</v>
      </c>
      <c r="C46" s="380" t="s">
        <v>136</v>
      </c>
      <c r="D46" s="381"/>
      <c r="E46" s="381"/>
      <c r="F46" s="381"/>
      <c r="G46" s="381"/>
      <c r="H46" s="382"/>
    </row>
    <row r="47" spans="1:15" ht="7.5" customHeight="1" x14ac:dyDescent="0.2">
      <c r="A47" s="40"/>
      <c r="B47" s="40"/>
      <c r="C47" s="40"/>
      <c r="D47" s="40"/>
      <c r="E47" s="40"/>
      <c r="F47" s="40"/>
      <c r="G47" s="40"/>
      <c r="H47" s="40"/>
    </row>
    <row r="48" spans="1:15" ht="52" customHeight="1" x14ac:dyDescent="0.2">
      <c r="A48" s="38"/>
      <c r="B48" s="39" t="s">
        <v>137</v>
      </c>
      <c r="C48" s="38"/>
      <c r="D48" s="38"/>
      <c r="E48" s="38"/>
      <c r="F48" s="38"/>
      <c r="G48" s="38"/>
      <c r="H48" s="38"/>
      <c r="I48" s="37"/>
      <c r="J48" s="6"/>
      <c r="K48" s="6"/>
      <c r="L48" s="6"/>
      <c r="M48" s="6"/>
      <c r="N48" s="6"/>
      <c r="O48" s="6"/>
    </row>
  </sheetData>
  <mergeCells count="13">
    <mergeCell ref="C46:H46"/>
    <mergeCell ref="C11:E11"/>
    <mergeCell ref="C42:H42"/>
    <mergeCell ref="C5:E5"/>
    <mergeCell ref="C44:H44"/>
    <mergeCell ref="C8:E8"/>
    <mergeCell ref="C9:E9"/>
    <mergeCell ref="C45:H45"/>
    <mergeCell ref="C43:H43"/>
    <mergeCell ref="C7:E7"/>
    <mergeCell ref="C12:E12"/>
    <mergeCell ref="C6:E6"/>
    <mergeCell ref="C10:E10"/>
  </mergeCells>
  <dataValidations count="2">
    <dataValidation type="list" sqref="E17:E22 E24:E29 E31:E35 E37:E39" xr:uid="{00000000-0002-0000-0000-000000000000}">
      <formula1>"E,H"</formula1>
      <formula2>0</formula2>
    </dataValidation>
    <dataValidation type="list" sqref="F17:F22 F24:F29 F31:F35 F37:F39" xr:uid="{00000000-0002-0000-0000-000001000000}">
      <formula1>"Tier 1 — Sayaç,Tier 1 — Debimetre,Tier 1 — Fatura,Tier 2 — Ekipman Bazlı,Tier 3 — Katsayı,ASHRAE Formül,FAO-56 / ASHRAE"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26"/>
  <sheetViews>
    <sheetView showGridLines="0"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/>
    </sheetView>
  </sheetViews>
  <sheetFormatPr baseColWidth="10" defaultColWidth="8.6640625" defaultRowHeight="15" x14ac:dyDescent="0.2"/>
  <cols>
    <col min="1" max="1" width="5" customWidth="1"/>
    <col min="2" max="2" width="28" customWidth="1"/>
    <col min="3" max="14" width="10" customWidth="1"/>
    <col min="15" max="15" width="12" customWidth="1"/>
    <col min="16" max="16" width="20" customWidth="1"/>
  </cols>
  <sheetData>
    <row r="1" spans="1:16" ht="27.75" customHeight="1" thickBot="1" x14ac:dyDescent="0.25">
      <c r="A1" s="59" t="s">
        <v>138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</row>
    <row r="2" spans="1:16" ht="13.5" customHeight="1" x14ac:dyDescent="0.2">
      <c r="A2" s="61" t="s">
        <v>139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</row>
    <row r="3" spans="1:16" ht="7.5" customHeight="1" x14ac:dyDescent="0.2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</row>
    <row r="4" spans="1:16" ht="15.75" customHeight="1" x14ac:dyDescent="0.2">
      <c r="A4" s="20" t="s">
        <v>140</v>
      </c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</row>
    <row r="5" spans="1:16" ht="19.5" customHeight="1" x14ac:dyDescent="0.2">
      <c r="B5" s="19" t="s">
        <v>38</v>
      </c>
      <c r="C5" s="387" t="s">
        <v>141</v>
      </c>
      <c r="D5" s="388"/>
      <c r="E5" s="388"/>
    </row>
    <row r="6" spans="1:16" ht="19.5" customHeight="1" x14ac:dyDescent="0.2">
      <c r="B6" s="8" t="s">
        <v>142</v>
      </c>
      <c r="C6" s="389">
        <v>38.43</v>
      </c>
      <c r="D6" s="390"/>
      <c r="E6" s="390"/>
    </row>
    <row r="7" spans="1:16" ht="19.5" customHeight="1" x14ac:dyDescent="0.2">
      <c r="B7" s="8" t="s">
        <v>143</v>
      </c>
      <c r="C7" s="389">
        <v>120</v>
      </c>
      <c r="D7" s="390"/>
      <c r="E7" s="390"/>
    </row>
    <row r="8" spans="1:16" ht="19.5" customHeight="1" x14ac:dyDescent="0.2">
      <c r="B8" s="8" t="s">
        <v>144</v>
      </c>
      <c r="C8" s="389" t="s">
        <v>145</v>
      </c>
      <c r="D8" s="390"/>
      <c r="E8" s="390"/>
    </row>
    <row r="9" spans="1:16" ht="19.5" customHeight="1" x14ac:dyDescent="0.2">
      <c r="B9" s="63" t="s">
        <v>146</v>
      </c>
      <c r="C9" s="391">
        <v>2025</v>
      </c>
      <c r="D9" s="392"/>
      <c r="E9" s="392"/>
    </row>
    <row r="10" spans="1:16" ht="7.5" customHeight="1" x14ac:dyDescent="0.2"/>
    <row r="11" spans="1:16" ht="15.75" customHeight="1" x14ac:dyDescent="0.2">
      <c r="A11" s="33" t="s">
        <v>147</v>
      </c>
      <c r="B11" s="64"/>
      <c r="C11" s="64"/>
      <c r="D11" s="64"/>
      <c r="E11" s="64"/>
      <c r="F11" s="64"/>
      <c r="G11" s="64"/>
      <c r="H11" s="64"/>
      <c r="I11" s="64"/>
      <c r="J11" s="64"/>
      <c r="K11" s="64"/>
      <c r="L11" s="64"/>
      <c r="M11" s="64"/>
      <c r="N11" s="64"/>
      <c r="O11" s="64"/>
      <c r="P11" s="64"/>
    </row>
    <row r="12" spans="1:16" ht="27.75" customHeight="1" x14ac:dyDescent="0.2">
      <c r="B12" s="65" t="s">
        <v>148</v>
      </c>
      <c r="C12" s="66" t="s">
        <v>19</v>
      </c>
      <c r="D12" s="66" t="s">
        <v>20</v>
      </c>
      <c r="E12" s="66" t="s">
        <v>21</v>
      </c>
      <c r="F12" s="66" t="s">
        <v>22</v>
      </c>
      <c r="G12" s="66" t="s">
        <v>23</v>
      </c>
      <c r="H12" s="66" t="s">
        <v>24</v>
      </c>
      <c r="I12" s="66" t="s">
        <v>25</v>
      </c>
      <c r="J12" s="66" t="s">
        <v>26</v>
      </c>
      <c r="K12" s="66" t="s">
        <v>27</v>
      </c>
      <c r="L12" s="66" t="s">
        <v>28</v>
      </c>
      <c r="M12" s="66" t="s">
        <v>29</v>
      </c>
      <c r="N12" s="66" t="s">
        <v>30</v>
      </c>
      <c r="O12" s="65" t="s">
        <v>149</v>
      </c>
      <c r="P12" s="65" t="s">
        <v>150</v>
      </c>
    </row>
    <row r="13" spans="1:16" ht="19.5" customHeight="1" x14ac:dyDescent="0.2">
      <c r="B13" s="67" t="s">
        <v>151</v>
      </c>
      <c r="C13" s="68">
        <v>8.8000000000000007</v>
      </c>
      <c r="D13" s="68">
        <v>9.5</v>
      </c>
      <c r="E13" s="68">
        <v>12</v>
      </c>
      <c r="F13" s="68">
        <v>16.2</v>
      </c>
      <c r="G13" s="68">
        <v>21</v>
      </c>
      <c r="H13" s="68">
        <v>26</v>
      </c>
      <c r="I13" s="68">
        <v>28.5</v>
      </c>
      <c r="J13" s="68">
        <v>28.2</v>
      </c>
      <c r="K13" s="68">
        <v>24</v>
      </c>
      <c r="L13" s="68">
        <v>19</v>
      </c>
      <c r="M13" s="68">
        <v>14</v>
      </c>
      <c r="N13" s="68">
        <v>10.5</v>
      </c>
      <c r="O13" s="69">
        <f t="shared" ref="O13:O20" si="0">IFERROR(AVERAGE(C13:N13),"")</f>
        <v>18.141666666666666</v>
      </c>
      <c r="P13" s="70" t="s">
        <v>152</v>
      </c>
    </row>
    <row r="14" spans="1:16" ht="19.5" customHeight="1" x14ac:dyDescent="0.2">
      <c r="B14" s="80" t="s">
        <v>153</v>
      </c>
      <c r="C14" s="71">
        <v>4.5</v>
      </c>
      <c r="D14" s="71">
        <v>5</v>
      </c>
      <c r="E14" s="71">
        <v>7</v>
      </c>
      <c r="F14" s="71">
        <v>10.5</v>
      </c>
      <c r="G14" s="71">
        <v>15</v>
      </c>
      <c r="H14" s="71">
        <v>19.5</v>
      </c>
      <c r="I14" s="71">
        <v>22</v>
      </c>
      <c r="J14" s="71">
        <v>22</v>
      </c>
      <c r="K14" s="71">
        <v>18</v>
      </c>
      <c r="L14" s="71">
        <v>13.5</v>
      </c>
      <c r="M14" s="71">
        <v>9</v>
      </c>
      <c r="N14" s="71">
        <v>6</v>
      </c>
      <c r="O14" s="72">
        <f t="shared" si="0"/>
        <v>12.666666666666666</v>
      </c>
      <c r="P14" s="85" t="s">
        <v>154</v>
      </c>
    </row>
    <row r="15" spans="1:16" ht="19.5" customHeight="1" x14ac:dyDescent="0.2">
      <c r="B15" s="81" t="s">
        <v>155</v>
      </c>
      <c r="C15" s="73">
        <v>12.5</v>
      </c>
      <c r="D15" s="73">
        <v>14</v>
      </c>
      <c r="E15" s="73">
        <v>17</v>
      </c>
      <c r="F15" s="73">
        <v>22</v>
      </c>
      <c r="G15" s="73">
        <v>27.5</v>
      </c>
      <c r="H15" s="73">
        <v>33</v>
      </c>
      <c r="I15" s="73">
        <v>35.5</v>
      </c>
      <c r="J15" s="73">
        <v>35</v>
      </c>
      <c r="K15" s="73">
        <v>30.5</v>
      </c>
      <c r="L15" s="73">
        <v>25</v>
      </c>
      <c r="M15" s="73">
        <v>19</v>
      </c>
      <c r="N15" s="73">
        <v>14</v>
      </c>
      <c r="O15" s="74">
        <f t="shared" si="0"/>
        <v>23.75</v>
      </c>
      <c r="P15" s="86" t="s">
        <v>156</v>
      </c>
    </row>
    <row r="16" spans="1:16" ht="19.5" customHeight="1" x14ac:dyDescent="0.2">
      <c r="B16" s="82" t="s">
        <v>157</v>
      </c>
      <c r="C16" s="73">
        <v>68</v>
      </c>
      <c r="D16" s="73">
        <v>65</v>
      </c>
      <c r="E16" s="73">
        <v>62</v>
      </c>
      <c r="F16" s="73">
        <v>58</v>
      </c>
      <c r="G16" s="73">
        <v>52</v>
      </c>
      <c r="H16" s="73">
        <v>42</v>
      </c>
      <c r="I16" s="73">
        <v>38</v>
      </c>
      <c r="J16" s="73">
        <v>40</v>
      </c>
      <c r="K16" s="73">
        <v>48</v>
      </c>
      <c r="L16" s="73">
        <v>60</v>
      </c>
      <c r="M16" s="73">
        <v>68</v>
      </c>
      <c r="N16" s="73">
        <v>70</v>
      </c>
      <c r="O16" s="74">
        <f t="shared" si="0"/>
        <v>55.916666666666664</v>
      </c>
      <c r="P16" s="86" t="s">
        <v>158</v>
      </c>
    </row>
    <row r="17" spans="2:16" ht="19.5" customHeight="1" x14ac:dyDescent="0.2">
      <c r="B17" s="81" t="s">
        <v>159</v>
      </c>
      <c r="C17" s="73">
        <v>2.5</v>
      </c>
      <c r="D17" s="73">
        <v>2.8</v>
      </c>
      <c r="E17" s="73">
        <v>3</v>
      </c>
      <c r="F17" s="73">
        <v>2.8</v>
      </c>
      <c r="G17" s="73">
        <v>2.5</v>
      </c>
      <c r="H17" s="73">
        <v>3.2</v>
      </c>
      <c r="I17" s="73">
        <v>3.5</v>
      </c>
      <c r="J17" s="73">
        <v>3.2</v>
      </c>
      <c r="K17" s="73">
        <v>2.8</v>
      </c>
      <c r="L17" s="73">
        <v>2.2000000000000002</v>
      </c>
      <c r="M17" s="73">
        <v>2</v>
      </c>
      <c r="N17" s="73">
        <v>2.5</v>
      </c>
      <c r="O17" s="74">
        <f t="shared" si="0"/>
        <v>2.75</v>
      </c>
      <c r="P17" s="86" t="s">
        <v>160</v>
      </c>
    </row>
    <row r="18" spans="2:16" ht="19.5" customHeight="1" x14ac:dyDescent="0.2">
      <c r="B18" s="82" t="s">
        <v>161</v>
      </c>
      <c r="C18" s="73">
        <v>4.5</v>
      </c>
      <c r="D18" s="73">
        <v>5.5</v>
      </c>
      <c r="E18" s="73">
        <v>6.5</v>
      </c>
      <c r="F18" s="73">
        <v>8</v>
      </c>
      <c r="G18" s="73">
        <v>10</v>
      </c>
      <c r="H18" s="73">
        <v>12</v>
      </c>
      <c r="I18" s="73">
        <v>12.5</v>
      </c>
      <c r="J18" s="73">
        <v>11.5</v>
      </c>
      <c r="K18" s="73">
        <v>9.5</v>
      </c>
      <c r="L18" s="73">
        <v>7</v>
      </c>
      <c r="M18" s="73">
        <v>5</v>
      </c>
      <c r="N18" s="73">
        <v>4</v>
      </c>
      <c r="O18" s="74">
        <f t="shared" si="0"/>
        <v>8</v>
      </c>
      <c r="P18" s="86" t="s">
        <v>162</v>
      </c>
    </row>
    <row r="19" spans="2:16" ht="19.5" customHeight="1" x14ac:dyDescent="0.2">
      <c r="B19" s="81" t="s">
        <v>163</v>
      </c>
      <c r="C19" s="73">
        <v>7</v>
      </c>
      <c r="D19" s="73">
        <v>9.5</v>
      </c>
      <c r="E19" s="73">
        <v>13.5</v>
      </c>
      <c r="F19" s="73">
        <v>18</v>
      </c>
      <c r="G19" s="73">
        <v>23</v>
      </c>
      <c r="H19" s="73">
        <v>26.5</v>
      </c>
      <c r="I19" s="73">
        <v>27</v>
      </c>
      <c r="J19" s="73">
        <v>24</v>
      </c>
      <c r="K19" s="73">
        <v>19</v>
      </c>
      <c r="L19" s="73">
        <v>13</v>
      </c>
      <c r="M19" s="73">
        <v>8.5</v>
      </c>
      <c r="N19" s="73">
        <v>6</v>
      </c>
      <c r="O19" s="74">
        <f t="shared" si="0"/>
        <v>16.25</v>
      </c>
      <c r="P19" s="86" t="s">
        <v>164</v>
      </c>
    </row>
    <row r="20" spans="2:16" ht="19.5" customHeight="1" x14ac:dyDescent="0.2">
      <c r="B20" s="82" t="s">
        <v>165</v>
      </c>
      <c r="C20" s="73">
        <v>100.1</v>
      </c>
      <c r="D20" s="73">
        <v>100.1</v>
      </c>
      <c r="E20" s="73">
        <v>100.1</v>
      </c>
      <c r="F20" s="73">
        <v>100.1</v>
      </c>
      <c r="G20" s="73">
        <v>100.1</v>
      </c>
      <c r="H20" s="73">
        <v>100.1</v>
      </c>
      <c r="I20" s="73">
        <v>100.1</v>
      </c>
      <c r="J20" s="73">
        <v>100.1</v>
      </c>
      <c r="K20" s="73">
        <v>100.1</v>
      </c>
      <c r="L20" s="73">
        <v>100.1</v>
      </c>
      <c r="M20" s="73">
        <v>100.1</v>
      </c>
      <c r="N20" s="73">
        <v>100.1</v>
      </c>
      <c r="O20" s="74">
        <f t="shared" si="0"/>
        <v>100.10000000000001</v>
      </c>
      <c r="P20" s="86" t="s">
        <v>166</v>
      </c>
    </row>
    <row r="21" spans="2:16" ht="19.5" customHeight="1" x14ac:dyDescent="0.2">
      <c r="B21" s="81" t="s">
        <v>167</v>
      </c>
      <c r="C21" s="73">
        <v>110</v>
      </c>
      <c r="D21" s="73">
        <v>95</v>
      </c>
      <c r="E21" s="73">
        <v>72</v>
      </c>
      <c r="F21" s="73">
        <v>45</v>
      </c>
      <c r="G21" s="73">
        <v>25</v>
      </c>
      <c r="H21" s="73">
        <v>8</v>
      </c>
      <c r="I21" s="73">
        <v>3</v>
      </c>
      <c r="J21" s="73">
        <v>5</v>
      </c>
      <c r="K21" s="73">
        <v>18</v>
      </c>
      <c r="L21" s="73">
        <v>55</v>
      </c>
      <c r="M21" s="73">
        <v>90</v>
      </c>
      <c r="N21" s="73">
        <v>125</v>
      </c>
      <c r="O21" s="74">
        <f>IFERROR(SUM(C21:N21),"")</f>
        <v>651</v>
      </c>
      <c r="P21" s="86" t="s">
        <v>168</v>
      </c>
    </row>
    <row r="22" spans="2:16" ht="19.5" customHeight="1" x14ac:dyDescent="0.2">
      <c r="B22" s="83" t="s">
        <v>169</v>
      </c>
      <c r="C22" s="75">
        <f t="shared" ref="C22:N22" si="1">IFERROR(0.6108*EXP(17.27*C13/(C13+237.3)),"")</f>
        <v>1.1326407811431278</v>
      </c>
      <c r="D22" s="75">
        <f t="shared" si="1"/>
        <v>1.1874205365788533</v>
      </c>
      <c r="E22" s="75">
        <f t="shared" si="1"/>
        <v>1.4025638730469563</v>
      </c>
      <c r="F22" s="75">
        <f t="shared" si="1"/>
        <v>1.841645130417793</v>
      </c>
      <c r="G22" s="75">
        <f t="shared" si="1"/>
        <v>2.4870053972720654</v>
      </c>
      <c r="H22" s="75">
        <f t="shared" si="1"/>
        <v>3.3614398286025637</v>
      </c>
      <c r="I22" s="75">
        <f t="shared" si="1"/>
        <v>3.891379531185216</v>
      </c>
      <c r="J22" s="75">
        <f t="shared" si="1"/>
        <v>3.8241720180540506</v>
      </c>
      <c r="K22" s="75">
        <f t="shared" si="1"/>
        <v>2.9839174771655594</v>
      </c>
      <c r="L22" s="75">
        <f t="shared" si="1"/>
        <v>2.1973933238855259</v>
      </c>
      <c r="M22" s="75">
        <f t="shared" si="1"/>
        <v>1.5986048594252917</v>
      </c>
      <c r="N22" s="75">
        <f t="shared" si="1"/>
        <v>1.2697168912941836</v>
      </c>
      <c r="O22" s="76">
        <f>IFERROR(AVERAGE(C22:N22),"")</f>
        <v>2.2648249706725987</v>
      </c>
      <c r="P22" s="87">
        <f>IFERROR(AVERAGE(C22:N22),"")</f>
        <v>2.2648249706725987</v>
      </c>
    </row>
    <row r="23" spans="2:16" ht="19.5" customHeight="1" x14ac:dyDescent="0.2">
      <c r="B23" s="53" t="s">
        <v>170</v>
      </c>
      <c r="C23" s="77">
        <f t="shared" ref="C23:N23" si="2">IFERROR(C22*C16/100,"")</f>
        <v>0.77019573117732687</v>
      </c>
      <c r="D23" s="77">
        <f t="shared" si="2"/>
        <v>0.77182334877625469</v>
      </c>
      <c r="E23" s="77">
        <f t="shared" si="2"/>
        <v>0.86958960128911289</v>
      </c>
      <c r="F23" s="77">
        <f t="shared" si="2"/>
        <v>1.0681541756423198</v>
      </c>
      <c r="G23" s="77">
        <f t="shared" si="2"/>
        <v>1.2932428065814738</v>
      </c>
      <c r="H23" s="77">
        <f t="shared" si="2"/>
        <v>1.4118047280130768</v>
      </c>
      <c r="I23" s="77">
        <f t="shared" si="2"/>
        <v>1.478724221850382</v>
      </c>
      <c r="J23" s="77">
        <f t="shared" si="2"/>
        <v>1.5296688072216202</v>
      </c>
      <c r="K23" s="77">
        <f t="shared" si="2"/>
        <v>1.4322803890394686</v>
      </c>
      <c r="L23" s="77">
        <f t="shared" si="2"/>
        <v>1.3184359943313155</v>
      </c>
      <c r="M23" s="77">
        <f t="shared" si="2"/>
        <v>1.0870513044091985</v>
      </c>
      <c r="N23" s="77">
        <f t="shared" si="2"/>
        <v>0.88880182390592855</v>
      </c>
      <c r="O23" s="76">
        <f>IFERROR(AVERAGE(C23:N23),"")</f>
        <v>1.1599810776864565</v>
      </c>
      <c r="P23" s="87">
        <f>IFERROR(AVERAGE(C23:N23),"")</f>
        <v>1.1599810776864565</v>
      </c>
    </row>
    <row r="24" spans="2:16" ht="19.5" customHeight="1" x14ac:dyDescent="0.2">
      <c r="B24" s="83" t="s">
        <v>171</v>
      </c>
      <c r="C24" s="75">
        <f t="shared" ref="C24:N24" si="3">IFERROR(C22-C23,"")</f>
        <v>0.36244504996580096</v>
      </c>
      <c r="D24" s="75">
        <f t="shared" si="3"/>
        <v>0.41559718780259858</v>
      </c>
      <c r="E24" s="75">
        <f t="shared" si="3"/>
        <v>0.5329742717578434</v>
      </c>
      <c r="F24" s="75">
        <f t="shared" si="3"/>
        <v>0.77349095477547314</v>
      </c>
      <c r="G24" s="75">
        <f t="shared" si="3"/>
        <v>1.1937625906905915</v>
      </c>
      <c r="H24" s="75">
        <f t="shared" si="3"/>
        <v>1.949635100589487</v>
      </c>
      <c r="I24" s="75">
        <f t="shared" si="3"/>
        <v>2.4126553093348342</v>
      </c>
      <c r="J24" s="75">
        <f t="shared" si="3"/>
        <v>2.2945032108324304</v>
      </c>
      <c r="K24" s="75">
        <f t="shared" si="3"/>
        <v>1.5516370881260908</v>
      </c>
      <c r="L24" s="75">
        <f t="shared" si="3"/>
        <v>0.87895732955421035</v>
      </c>
      <c r="M24" s="75">
        <f t="shared" si="3"/>
        <v>0.51155355501609323</v>
      </c>
      <c r="N24" s="75">
        <f t="shared" si="3"/>
        <v>0.38091506738825509</v>
      </c>
      <c r="O24" s="76">
        <f>IFERROR(AVERAGE(C24:N24),"")</f>
        <v>1.1048438929861424</v>
      </c>
      <c r="P24" s="87">
        <f>IFERROR(AVERAGE(C24:N24),"")</f>
        <v>1.1048438929861424</v>
      </c>
    </row>
    <row r="25" spans="2:16" ht="19.5" customHeight="1" x14ac:dyDescent="0.2">
      <c r="B25" s="53" t="s">
        <v>172</v>
      </c>
      <c r="C25" s="77">
        <f t="shared" ref="C25:N25" si="4">IFERROR(0.0023*(C13+17.8)*(C15-C14)^0.5*C19*0.0135,"")</f>
        <v>1.6352579705991348E-2</v>
      </c>
      <c r="D25" s="77">
        <f t="shared" si="4"/>
        <v>2.4158452499999997E-2</v>
      </c>
      <c r="E25" s="77">
        <f t="shared" si="4"/>
        <v>3.9501322598392195E-2</v>
      </c>
      <c r="F25" s="77">
        <f t="shared" si="4"/>
        <v>6.4440951868668092E-2</v>
      </c>
      <c r="G25" s="77">
        <f t="shared" si="4"/>
        <v>9.7966179710168341E-2</v>
      </c>
      <c r="H25" s="77">
        <f t="shared" si="4"/>
        <v>0.13241844182268586</v>
      </c>
      <c r="I25" s="77">
        <f t="shared" si="4"/>
        <v>0.14261763946113512</v>
      </c>
      <c r="J25" s="77">
        <f t="shared" si="4"/>
        <v>0.12359541328188518</v>
      </c>
      <c r="K25" s="77">
        <f t="shared" si="4"/>
        <v>8.7185947922249762E-2</v>
      </c>
      <c r="L25" s="77">
        <f t="shared" si="4"/>
        <v>5.0373449957468668E-2</v>
      </c>
      <c r="M25" s="77">
        <f t="shared" si="4"/>
        <v>2.6540411380426076E-2</v>
      </c>
      <c r="N25" s="77">
        <f t="shared" si="4"/>
        <v>1.4912288045528093E-2</v>
      </c>
      <c r="O25" s="76">
        <f>IFERROR(AVERAGE(C25:N25),"")</f>
        <v>6.8338589854549894E-2</v>
      </c>
      <c r="P25" s="86" t="s">
        <v>173</v>
      </c>
    </row>
    <row r="26" spans="2:16" ht="19.5" customHeight="1" x14ac:dyDescent="0.2">
      <c r="B26" s="84" t="s">
        <v>174</v>
      </c>
      <c r="C26" s="78">
        <f>IFERROR(C25*31,"")</f>
        <v>0.50692997088573177</v>
      </c>
      <c r="D26" s="78">
        <f>IFERROR(D25*28,"")</f>
        <v>0.67643666999999996</v>
      </c>
      <c r="E26" s="78">
        <f>IFERROR(E25*31,"")</f>
        <v>1.224541000550158</v>
      </c>
      <c r="F26" s="78">
        <f>IFERROR(F25*30,"")</f>
        <v>1.9332285560600428</v>
      </c>
      <c r="G26" s="78">
        <f>IFERROR(G25*31,"")</f>
        <v>3.0369515710152184</v>
      </c>
      <c r="H26" s="78">
        <f>IFERROR(H25*30,"")</f>
        <v>3.9725532546805757</v>
      </c>
      <c r="I26" s="78">
        <f>IFERROR(I25*31,"")</f>
        <v>4.4211468232951887</v>
      </c>
      <c r="J26" s="78">
        <f>IFERROR(J25*31,"")</f>
        <v>3.8314578117384408</v>
      </c>
      <c r="K26" s="78">
        <f>IFERROR(K25*30,"")</f>
        <v>2.6155784376674927</v>
      </c>
      <c r="L26" s="78">
        <f>IFERROR(L25*31,"")</f>
        <v>1.5615769486815287</v>
      </c>
      <c r="M26" s="78">
        <f>IFERROR(M25*30,"")</f>
        <v>0.7962123414127823</v>
      </c>
      <c r="N26" s="78">
        <f>IFERROR(N25*31,"")</f>
        <v>0.46228092941137089</v>
      </c>
      <c r="O26" s="79">
        <f>IFERROR(AVERAGE(C26:N26),"")</f>
        <v>2.0865745262832109</v>
      </c>
      <c r="P26" s="88">
        <f>IFERROR(AVERAGE(C26:N26),"")</f>
        <v>2.0865745262832109</v>
      </c>
    </row>
  </sheetData>
  <mergeCells count="5">
    <mergeCell ref="C5:E5"/>
    <mergeCell ref="C8:E8"/>
    <mergeCell ref="C9:E9"/>
    <mergeCell ref="C7:E7"/>
    <mergeCell ref="C6:E6"/>
  </mergeCells>
  <pageMargins left="0.75" right="0.75" top="1" bottom="1" header="0.511811023622047" footer="0.511811023622047"/>
  <pageSetup paperSize="9" orientation="portrait" horizontalDpi="300" verticalDpi="30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28"/>
  <sheetViews>
    <sheetView showGridLines="0"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/>
    </sheetView>
  </sheetViews>
  <sheetFormatPr baseColWidth="10" defaultColWidth="8.6640625" defaultRowHeight="15" x14ac:dyDescent="0.2"/>
  <cols>
    <col min="1" max="1" width="5" customWidth="1"/>
    <col min="2" max="2" width="6" customWidth="1"/>
    <col min="3" max="3" width="26" customWidth="1"/>
    <col min="4" max="15" width="10" customWidth="1"/>
    <col min="16" max="16" width="12" customWidth="1"/>
    <col min="17" max="17" width="14" customWidth="1"/>
  </cols>
  <sheetData>
    <row r="1" spans="1:17" ht="27.75" customHeight="1" thickBot="1" x14ac:dyDescent="0.25">
      <c r="A1" s="59" t="s">
        <v>175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</row>
    <row r="2" spans="1:17" ht="13.5" customHeight="1" x14ac:dyDescent="0.2">
      <c r="A2" s="61" t="s">
        <v>176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</row>
    <row r="3" spans="1:17" ht="7.5" customHeight="1" x14ac:dyDescent="0.2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</row>
    <row r="4" spans="1:17" ht="15.75" customHeight="1" x14ac:dyDescent="0.2">
      <c r="A4" s="89" t="s">
        <v>177</v>
      </c>
      <c r="B4" s="90"/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</row>
    <row r="5" spans="1:17" ht="24" customHeight="1" x14ac:dyDescent="0.2">
      <c r="A5" s="23"/>
      <c r="B5" s="101" t="s">
        <v>178</v>
      </c>
      <c r="C5" s="101" t="s">
        <v>179</v>
      </c>
      <c r="D5" s="102" t="s">
        <v>19</v>
      </c>
      <c r="E5" s="102" t="s">
        <v>20</v>
      </c>
      <c r="F5" s="102" t="s">
        <v>21</v>
      </c>
      <c r="G5" s="102" t="s">
        <v>22</v>
      </c>
      <c r="H5" s="102" t="s">
        <v>23</v>
      </c>
      <c r="I5" s="102" t="s">
        <v>24</v>
      </c>
      <c r="J5" s="102" t="s">
        <v>25</v>
      </c>
      <c r="K5" s="102" t="s">
        <v>26</v>
      </c>
      <c r="L5" s="102" t="s">
        <v>27</v>
      </c>
      <c r="M5" s="102" t="s">
        <v>28</v>
      </c>
      <c r="N5" s="102" t="s">
        <v>29</v>
      </c>
      <c r="O5" s="102" t="s">
        <v>30</v>
      </c>
      <c r="P5" s="101" t="s">
        <v>180</v>
      </c>
      <c r="Q5" s="101" t="s">
        <v>181</v>
      </c>
    </row>
    <row r="6" spans="1:17" ht="19.5" customHeight="1" x14ac:dyDescent="0.2">
      <c r="B6" s="107" t="s">
        <v>182</v>
      </c>
      <c r="C6" s="108" t="s">
        <v>183</v>
      </c>
      <c r="D6" s="109">
        <v>1550</v>
      </c>
      <c r="E6" s="109">
        <v>1450</v>
      </c>
      <c r="F6" s="109">
        <v>1600</v>
      </c>
      <c r="G6" s="109">
        <v>1700</v>
      </c>
      <c r="H6" s="109">
        <v>1800</v>
      </c>
      <c r="I6" s="109">
        <v>1950</v>
      </c>
      <c r="J6" s="109">
        <v>2100</v>
      </c>
      <c r="K6" s="109">
        <v>2050</v>
      </c>
      <c r="L6" s="109">
        <v>1900</v>
      </c>
      <c r="M6" s="109">
        <v>1750</v>
      </c>
      <c r="N6" s="109">
        <v>1650</v>
      </c>
      <c r="O6" s="109">
        <v>1750</v>
      </c>
      <c r="P6" s="110">
        <f t="shared" ref="P6:P15" si="0">IFERROR(SUM(D6:O6),0)</f>
        <v>21250</v>
      </c>
      <c r="Q6" s="111"/>
    </row>
    <row r="7" spans="1:17" ht="19.5" customHeight="1" x14ac:dyDescent="0.2">
      <c r="B7" s="112" t="s">
        <v>184</v>
      </c>
      <c r="C7" s="82" t="s">
        <v>185</v>
      </c>
      <c r="D7" s="113"/>
      <c r="E7" s="113"/>
      <c r="F7" s="113"/>
      <c r="G7" s="113"/>
      <c r="H7" s="113"/>
      <c r="I7" s="113"/>
      <c r="J7" s="113"/>
      <c r="K7" s="113"/>
      <c r="L7" s="113"/>
      <c r="M7" s="113"/>
      <c r="N7" s="113"/>
      <c r="O7" s="113"/>
      <c r="P7" s="114">
        <f t="shared" si="0"/>
        <v>0</v>
      </c>
      <c r="Q7" s="115"/>
    </row>
    <row r="8" spans="1:17" ht="19.5" customHeight="1" x14ac:dyDescent="0.2">
      <c r="B8" s="116" t="s">
        <v>186</v>
      </c>
      <c r="C8" s="117" t="s">
        <v>187</v>
      </c>
      <c r="D8" s="113">
        <v>4200</v>
      </c>
      <c r="E8" s="113">
        <v>3800</v>
      </c>
      <c r="F8" s="113">
        <v>4100</v>
      </c>
      <c r="G8" s="113">
        <v>4400</v>
      </c>
      <c r="H8" s="113">
        <v>4600</v>
      </c>
      <c r="I8" s="113">
        <v>5000</v>
      </c>
      <c r="J8" s="113">
        <v>5400</v>
      </c>
      <c r="K8" s="113">
        <v>5600</v>
      </c>
      <c r="L8" s="113">
        <v>5200</v>
      </c>
      <c r="M8" s="113">
        <v>5000</v>
      </c>
      <c r="N8" s="113">
        <v>4500</v>
      </c>
      <c r="O8" s="113">
        <v>3950</v>
      </c>
      <c r="P8" s="114">
        <f t="shared" si="0"/>
        <v>55750</v>
      </c>
      <c r="Q8" s="115"/>
    </row>
    <row r="9" spans="1:17" ht="19.5" customHeight="1" x14ac:dyDescent="0.2">
      <c r="B9" s="112" t="s">
        <v>188</v>
      </c>
      <c r="C9" s="82" t="s">
        <v>189</v>
      </c>
      <c r="D9" s="113">
        <v>650</v>
      </c>
      <c r="E9" s="113">
        <v>550</v>
      </c>
      <c r="F9" s="113">
        <v>450</v>
      </c>
      <c r="G9" s="113">
        <v>300</v>
      </c>
      <c r="H9" s="113">
        <v>150</v>
      </c>
      <c r="I9" s="113">
        <v>50</v>
      </c>
      <c r="J9" s="113">
        <v>0</v>
      </c>
      <c r="K9" s="113">
        <v>0</v>
      </c>
      <c r="L9" s="113">
        <v>100</v>
      </c>
      <c r="M9" s="113">
        <v>350</v>
      </c>
      <c r="N9" s="113">
        <v>600</v>
      </c>
      <c r="O9" s="113">
        <v>1050</v>
      </c>
      <c r="P9" s="114">
        <f t="shared" si="0"/>
        <v>4250</v>
      </c>
      <c r="Q9" s="115"/>
    </row>
    <row r="10" spans="1:17" ht="19.5" customHeight="1" x14ac:dyDescent="0.2">
      <c r="B10" s="116" t="s">
        <v>190</v>
      </c>
      <c r="C10" s="117" t="s">
        <v>191</v>
      </c>
      <c r="D10" s="113">
        <v>250</v>
      </c>
      <c r="E10" s="113">
        <v>220</v>
      </c>
      <c r="F10" s="113">
        <v>280</v>
      </c>
      <c r="G10" s="113">
        <v>300</v>
      </c>
      <c r="H10" s="113">
        <v>330</v>
      </c>
      <c r="I10" s="113">
        <v>370</v>
      </c>
      <c r="J10" s="113">
        <v>400</v>
      </c>
      <c r="K10" s="113">
        <v>400</v>
      </c>
      <c r="L10" s="113">
        <v>350</v>
      </c>
      <c r="M10" s="113">
        <v>320</v>
      </c>
      <c r="N10" s="113">
        <v>280</v>
      </c>
      <c r="O10" s="113">
        <v>250</v>
      </c>
      <c r="P10" s="114">
        <f t="shared" si="0"/>
        <v>3750</v>
      </c>
      <c r="Q10" s="115"/>
    </row>
    <row r="11" spans="1:17" ht="19.5" customHeight="1" x14ac:dyDescent="0.2">
      <c r="B11" s="112" t="s">
        <v>192</v>
      </c>
      <c r="C11" s="82" t="s">
        <v>193</v>
      </c>
      <c r="D11" s="113"/>
      <c r="E11" s="113"/>
      <c r="F11" s="113"/>
      <c r="G11" s="113"/>
      <c r="H11" s="113"/>
      <c r="I11" s="113"/>
      <c r="J11" s="113"/>
      <c r="K11" s="113"/>
      <c r="L11" s="113"/>
      <c r="M11" s="113"/>
      <c r="N11" s="113"/>
      <c r="O11" s="113"/>
      <c r="P11" s="114">
        <f t="shared" si="0"/>
        <v>0</v>
      </c>
      <c r="Q11" s="115"/>
    </row>
    <row r="12" spans="1:17" ht="19.5" customHeight="1" x14ac:dyDescent="0.2">
      <c r="B12" s="116" t="s">
        <v>194</v>
      </c>
      <c r="C12" s="117" t="s">
        <v>195</v>
      </c>
      <c r="D12" s="113"/>
      <c r="E12" s="113"/>
      <c r="F12" s="113"/>
      <c r="G12" s="113"/>
      <c r="H12" s="113"/>
      <c r="I12" s="113"/>
      <c r="J12" s="113"/>
      <c r="K12" s="113"/>
      <c r="L12" s="113"/>
      <c r="M12" s="113"/>
      <c r="N12" s="113"/>
      <c r="O12" s="113"/>
      <c r="P12" s="114">
        <f t="shared" si="0"/>
        <v>0</v>
      </c>
      <c r="Q12" s="115"/>
    </row>
    <row r="13" spans="1:17" ht="19.5" customHeight="1" x14ac:dyDescent="0.2">
      <c r="B13" s="112" t="s">
        <v>196</v>
      </c>
      <c r="C13" s="82" t="s">
        <v>197</v>
      </c>
      <c r="D13" s="113"/>
      <c r="E13" s="113"/>
      <c r="F13" s="113"/>
      <c r="G13" s="113"/>
      <c r="H13" s="113"/>
      <c r="I13" s="113"/>
      <c r="J13" s="113"/>
      <c r="K13" s="113"/>
      <c r="L13" s="113"/>
      <c r="M13" s="113"/>
      <c r="N13" s="113"/>
      <c r="O13" s="113"/>
      <c r="P13" s="114">
        <f t="shared" si="0"/>
        <v>0</v>
      </c>
      <c r="Q13" s="115"/>
    </row>
    <row r="14" spans="1:17" ht="19.5" customHeight="1" x14ac:dyDescent="0.2">
      <c r="B14" s="118" t="s">
        <v>198</v>
      </c>
      <c r="C14" s="119" t="s">
        <v>199</v>
      </c>
      <c r="D14" s="120"/>
      <c r="E14" s="120"/>
      <c r="F14" s="120"/>
      <c r="G14" s="120"/>
      <c r="H14" s="120"/>
      <c r="I14" s="120"/>
      <c r="J14" s="120"/>
      <c r="K14" s="120"/>
      <c r="L14" s="120"/>
      <c r="M14" s="120"/>
      <c r="N14" s="120"/>
      <c r="O14" s="120"/>
      <c r="P14" s="121">
        <f t="shared" si="0"/>
        <v>0</v>
      </c>
      <c r="Q14" s="122"/>
    </row>
    <row r="15" spans="1:17" ht="19.5" customHeight="1" x14ac:dyDescent="0.2">
      <c r="A15" s="91"/>
      <c r="B15" s="103"/>
      <c r="C15" s="104" t="s">
        <v>200</v>
      </c>
      <c r="D15" s="105">
        <f t="shared" ref="D15:O15" si="1">IFERROR(SUM(D6:D14),0)</f>
        <v>6650</v>
      </c>
      <c r="E15" s="105">
        <f t="shared" si="1"/>
        <v>6020</v>
      </c>
      <c r="F15" s="105">
        <f t="shared" si="1"/>
        <v>6430</v>
      </c>
      <c r="G15" s="105">
        <f t="shared" si="1"/>
        <v>6700</v>
      </c>
      <c r="H15" s="105">
        <f t="shared" si="1"/>
        <v>6880</v>
      </c>
      <c r="I15" s="105">
        <f t="shared" si="1"/>
        <v>7370</v>
      </c>
      <c r="J15" s="105">
        <f t="shared" si="1"/>
        <v>7900</v>
      </c>
      <c r="K15" s="105">
        <f t="shared" si="1"/>
        <v>8050</v>
      </c>
      <c r="L15" s="105">
        <f t="shared" si="1"/>
        <v>7550</v>
      </c>
      <c r="M15" s="105">
        <f t="shared" si="1"/>
        <v>7420</v>
      </c>
      <c r="N15" s="105">
        <f t="shared" si="1"/>
        <v>7030</v>
      </c>
      <c r="O15" s="105">
        <f t="shared" si="1"/>
        <v>7000</v>
      </c>
      <c r="P15" s="106">
        <f t="shared" si="0"/>
        <v>85000</v>
      </c>
      <c r="Q15" s="103"/>
    </row>
    <row r="16" spans="1:17" x14ac:dyDescent="0.2">
      <c r="A16" s="93"/>
      <c r="B16" s="93"/>
      <c r="C16" s="93"/>
      <c r="D16" s="93"/>
      <c r="E16" s="93"/>
      <c r="F16" s="93"/>
      <c r="G16" s="93"/>
      <c r="H16" s="93"/>
      <c r="I16" s="93"/>
      <c r="J16" s="93"/>
      <c r="K16" s="93"/>
      <c r="L16" s="93"/>
      <c r="M16" s="93"/>
      <c r="N16" s="93"/>
      <c r="O16" s="93"/>
      <c r="P16" s="93"/>
      <c r="Q16" s="93"/>
    </row>
    <row r="17" spans="1:17" ht="15.75" customHeight="1" x14ac:dyDescent="0.2">
      <c r="A17" s="97" t="s">
        <v>201</v>
      </c>
      <c r="B17" s="98"/>
      <c r="C17" s="98"/>
      <c r="D17" s="98"/>
      <c r="E17" s="98"/>
      <c r="F17" s="98"/>
      <c r="G17" s="98"/>
      <c r="H17" s="98"/>
      <c r="I17" s="98"/>
      <c r="J17" s="98"/>
      <c r="K17" s="98"/>
      <c r="L17" s="98"/>
      <c r="M17" s="98"/>
      <c r="N17" s="98"/>
      <c r="O17" s="98"/>
      <c r="P17" s="98"/>
      <c r="Q17" s="98"/>
    </row>
    <row r="18" spans="1:17" ht="24" customHeight="1" x14ac:dyDescent="0.2">
      <c r="A18" s="94"/>
      <c r="B18" s="123" t="s">
        <v>178</v>
      </c>
      <c r="C18" s="123" t="s">
        <v>179</v>
      </c>
      <c r="D18" s="123" t="s">
        <v>19</v>
      </c>
      <c r="E18" s="123" t="s">
        <v>20</v>
      </c>
      <c r="F18" s="123" t="s">
        <v>21</v>
      </c>
      <c r="G18" s="123" t="s">
        <v>22</v>
      </c>
      <c r="H18" s="123" t="s">
        <v>23</v>
      </c>
      <c r="I18" s="123" t="s">
        <v>24</v>
      </c>
      <c r="J18" s="123" t="s">
        <v>25</v>
      </c>
      <c r="K18" s="123" t="s">
        <v>26</v>
      </c>
      <c r="L18" s="123" t="s">
        <v>27</v>
      </c>
      <c r="M18" s="123" t="s">
        <v>28</v>
      </c>
      <c r="N18" s="123" t="s">
        <v>29</v>
      </c>
      <c r="O18" s="123" t="s">
        <v>30</v>
      </c>
      <c r="P18" s="123" t="s">
        <v>180</v>
      </c>
      <c r="Q18" s="123" t="s">
        <v>181</v>
      </c>
    </row>
    <row r="19" spans="1:17" ht="19.5" customHeight="1" x14ac:dyDescent="0.2">
      <c r="B19" s="128" t="s">
        <v>202</v>
      </c>
      <c r="C19" s="129" t="s">
        <v>203</v>
      </c>
      <c r="D19" s="109">
        <v>0</v>
      </c>
      <c r="E19" s="109">
        <v>0</v>
      </c>
      <c r="F19" s="109">
        <v>0</v>
      </c>
      <c r="G19" s="109">
        <v>0</v>
      </c>
      <c r="H19" s="109">
        <v>0</v>
      </c>
      <c r="I19" s="109">
        <v>0</v>
      </c>
      <c r="J19" s="109">
        <v>0</v>
      </c>
      <c r="K19" s="109">
        <v>0</v>
      </c>
      <c r="L19" s="109">
        <v>0</v>
      </c>
      <c r="M19" s="109">
        <v>0</v>
      </c>
      <c r="N19" s="109">
        <v>0</v>
      </c>
      <c r="O19" s="109">
        <v>0</v>
      </c>
      <c r="P19" s="130">
        <f t="shared" ref="P19:P28" si="2">IFERROR(SUM(D19:O19),0)</f>
        <v>0</v>
      </c>
      <c r="Q19" s="111"/>
    </row>
    <row r="20" spans="1:17" ht="19.5" customHeight="1" x14ac:dyDescent="0.2">
      <c r="B20" s="131" t="s">
        <v>204</v>
      </c>
      <c r="C20" s="132" t="s">
        <v>205</v>
      </c>
      <c r="D20" s="113">
        <v>0</v>
      </c>
      <c r="E20" s="113">
        <v>0</v>
      </c>
      <c r="F20" s="113">
        <v>0</v>
      </c>
      <c r="G20" s="113">
        <v>0</v>
      </c>
      <c r="H20" s="113">
        <v>0</v>
      </c>
      <c r="I20" s="113">
        <v>0</v>
      </c>
      <c r="J20" s="113">
        <v>0</v>
      </c>
      <c r="K20" s="113">
        <v>0</v>
      </c>
      <c r="L20" s="113">
        <v>0</v>
      </c>
      <c r="M20" s="113">
        <v>0</v>
      </c>
      <c r="N20" s="113">
        <v>0</v>
      </c>
      <c r="O20" s="113">
        <v>0</v>
      </c>
      <c r="P20" s="133">
        <f t="shared" si="2"/>
        <v>0</v>
      </c>
      <c r="Q20" s="115"/>
    </row>
    <row r="21" spans="1:17" ht="19.5" customHeight="1" x14ac:dyDescent="0.2">
      <c r="B21" s="134" t="s">
        <v>206</v>
      </c>
      <c r="C21" s="82" t="s">
        <v>207</v>
      </c>
      <c r="D21" s="113">
        <v>0</v>
      </c>
      <c r="E21" s="113">
        <v>0</v>
      </c>
      <c r="F21" s="113">
        <v>0</v>
      </c>
      <c r="G21" s="113">
        <v>0</v>
      </c>
      <c r="H21" s="113">
        <v>0</v>
      </c>
      <c r="I21" s="113">
        <v>0</v>
      </c>
      <c r="J21" s="113">
        <v>0</v>
      </c>
      <c r="K21" s="113">
        <v>0</v>
      </c>
      <c r="L21" s="113">
        <v>0</v>
      </c>
      <c r="M21" s="113">
        <v>0</v>
      </c>
      <c r="N21" s="113">
        <v>0</v>
      </c>
      <c r="O21" s="113">
        <v>0</v>
      </c>
      <c r="P21" s="133">
        <f t="shared" si="2"/>
        <v>0</v>
      </c>
      <c r="Q21" s="115"/>
    </row>
    <row r="22" spans="1:17" ht="19.5" customHeight="1" x14ac:dyDescent="0.2">
      <c r="B22" s="131" t="s">
        <v>208</v>
      </c>
      <c r="C22" s="132" t="s">
        <v>209</v>
      </c>
      <c r="D22" s="113">
        <v>0</v>
      </c>
      <c r="E22" s="113">
        <v>0</v>
      </c>
      <c r="F22" s="113">
        <v>0</v>
      </c>
      <c r="G22" s="113">
        <v>0</v>
      </c>
      <c r="H22" s="113">
        <v>0</v>
      </c>
      <c r="I22" s="113">
        <v>0</v>
      </c>
      <c r="J22" s="113">
        <v>0</v>
      </c>
      <c r="K22" s="113">
        <v>0</v>
      </c>
      <c r="L22" s="113">
        <v>0</v>
      </c>
      <c r="M22" s="113">
        <v>0</v>
      </c>
      <c r="N22" s="113">
        <v>0</v>
      </c>
      <c r="O22" s="113">
        <v>0</v>
      </c>
      <c r="P22" s="133">
        <f t="shared" si="2"/>
        <v>0</v>
      </c>
      <c r="Q22" s="115"/>
    </row>
    <row r="23" spans="1:17" ht="19.5" customHeight="1" x14ac:dyDescent="0.2">
      <c r="B23" s="134" t="s">
        <v>210</v>
      </c>
      <c r="C23" s="82" t="s">
        <v>211</v>
      </c>
      <c r="D23" s="113">
        <v>0</v>
      </c>
      <c r="E23" s="113">
        <v>0</v>
      </c>
      <c r="F23" s="113">
        <v>0</v>
      </c>
      <c r="G23" s="113">
        <v>0</v>
      </c>
      <c r="H23" s="113">
        <v>0</v>
      </c>
      <c r="I23" s="113">
        <v>0</v>
      </c>
      <c r="J23" s="113">
        <v>0</v>
      </c>
      <c r="K23" s="113">
        <v>0</v>
      </c>
      <c r="L23" s="113">
        <v>0</v>
      </c>
      <c r="M23" s="113">
        <v>0</v>
      </c>
      <c r="N23" s="113">
        <v>0</v>
      </c>
      <c r="O23" s="113">
        <v>0</v>
      </c>
      <c r="P23" s="133">
        <f t="shared" si="2"/>
        <v>0</v>
      </c>
      <c r="Q23" s="115"/>
    </row>
    <row r="24" spans="1:17" ht="19.5" customHeight="1" x14ac:dyDescent="0.2">
      <c r="B24" s="131" t="s">
        <v>212</v>
      </c>
      <c r="C24" s="132" t="s">
        <v>213</v>
      </c>
      <c r="D24" s="113">
        <v>4929</v>
      </c>
      <c r="E24" s="113">
        <v>4462</v>
      </c>
      <c r="F24" s="113">
        <v>4766</v>
      </c>
      <c r="G24" s="113">
        <v>4966</v>
      </c>
      <c r="H24" s="113">
        <v>5099</v>
      </c>
      <c r="I24" s="113">
        <v>5462</v>
      </c>
      <c r="J24" s="113">
        <v>5856</v>
      </c>
      <c r="K24" s="113">
        <v>5966</v>
      </c>
      <c r="L24" s="113">
        <v>5596</v>
      </c>
      <c r="M24" s="113">
        <v>5500</v>
      </c>
      <c r="N24" s="113">
        <v>5210</v>
      </c>
      <c r="O24" s="113">
        <v>5188</v>
      </c>
      <c r="P24" s="133">
        <f t="shared" si="2"/>
        <v>63000</v>
      </c>
      <c r="Q24" s="115"/>
    </row>
    <row r="25" spans="1:17" ht="19.5" customHeight="1" x14ac:dyDescent="0.2">
      <c r="B25" s="134" t="s">
        <v>214</v>
      </c>
      <c r="C25" s="82" t="s">
        <v>215</v>
      </c>
      <c r="D25" s="113">
        <v>430</v>
      </c>
      <c r="E25" s="113">
        <v>390</v>
      </c>
      <c r="F25" s="113">
        <v>416</v>
      </c>
      <c r="G25" s="113">
        <v>434</v>
      </c>
      <c r="H25" s="113">
        <v>445</v>
      </c>
      <c r="I25" s="113">
        <v>477</v>
      </c>
      <c r="J25" s="113">
        <v>510</v>
      </c>
      <c r="K25" s="113">
        <v>521</v>
      </c>
      <c r="L25" s="113">
        <v>489</v>
      </c>
      <c r="M25" s="113">
        <v>480</v>
      </c>
      <c r="N25" s="113">
        <v>455</v>
      </c>
      <c r="O25" s="113">
        <v>453</v>
      </c>
      <c r="P25" s="133">
        <f t="shared" si="2"/>
        <v>5500</v>
      </c>
      <c r="Q25" s="115"/>
    </row>
    <row r="26" spans="1:17" ht="19.5" customHeight="1" x14ac:dyDescent="0.2">
      <c r="B26" s="131" t="s">
        <v>216</v>
      </c>
      <c r="C26" s="132" t="s">
        <v>217</v>
      </c>
      <c r="D26" s="113">
        <v>250</v>
      </c>
      <c r="E26" s="113">
        <v>220</v>
      </c>
      <c r="F26" s="113">
        <v>280</v>
      </c>
      <c r="G26" s="113">
        <v>300</v>
      </c>
      <c r="H26" s="113">
        <v>330</v>
      </c>
      <c r="I26" s="113">
        <v>370</v>
      </c>
      <c r="J26" s="113">
        <v>400</v>
      </c>
      <c r="K26" s="113">
        <v>400</v>
      </c>
      <c r="L26" s="113">
        <v>350</v>
      </c>
      <c r="M26" s="113">
        <v>320</v>
      </c>
      <c r="N26" s="113">
        <v>280</v>
      </c>
      <c r="O26" s="113">
        <v>250</v>
      </c>
      <c r="P26" s="133">
        <f t="shared" si="2"/>
        <v>3750</v>
      </c>
      <c r="Q26" s="115"/>
    </row>
    <row r="27" spans="1:17" ht="19.5" customHeight="1" x14ac:dyDescent="0.2">
      <c r="B27" s="135" t="s">
        <v>218</v>
      </c>
      <c r="C27" s="136" t="s">
        <v>219</v>
      </c>
      <c r="D27" s="137">
        <v>0</v>
      </c>
      <c r="E27" s="137">
        <v>0</v>
      </c>
      <c r="F27" s="137">
        <v>0</v>
      </c>
      <c r="G27" s="137">
        <v>0</v>
      </c>
      <c r="H27" s="137">
        <v>0</v>
      </c>
      <c r="I27" s="137">
        <v>0</v>
      </c>
      <c r="J27" s="137">
        <v>0</v>
      </c>
      <c r="K27" s="137">
        <v>0</v>
      </c>
      <c r="L27" s="137">
        <v>0</v>
      </c>
      <c r="M27" s="137">
        <v>0</v>
      </c>
      <c r="N27" s="137">
        <v>0</v>
      </c>
      <c r="O27" s="137">
        <v>0</v>
      </c>
      <c r="P27" s="138">
        <f t="shared" si="2"/>
        <v>0</v>
      </c>
      <c r="Q27" s="139"/>
    </row>
    <row r="28" spans="1:17" ht="19.5" customHeight="1" x14ac:dyDescent="0.2">
      <c r="A28" s="100"/>
      <c r="B28" s="124"/>
      <c r="C28" s="125" t="s">
        <v>220</v>
      </c>
      <c r="D28" s="126">
        <f t="shared" ref="D28:O28" si="3">IFERROR(SUM(D19:D27),0)</f>
        <v>5609</v>
      </c>
      <c r="E28" s="126">
        <f t="shared" si="3"/>
        <v>5072</v>
      </c>
      <c r="F28" s="126">
        <f t="shared" si="3"/>
        <v>5462</v>
      </c>
      <c r="G28" s="126">
        <f t="shared" si="3"/>
        <v>5700</v>
      </c>
      <c r="H28" s="126">
        <f t="shared" si="3"/>
        <v>5874</v>
      </c>
      <c r="I28" s="126">
        <f t="shared" si="3"/>
        <v>6309</v>
      </c>
      <c r="J28" s="126">
        <f t="shared" si="3"/>
        <v>6766</v>
      </c>
      <c r="K28" s="126">
        <f t="shared" si="3"/>
        <v>6887</v>
      </c>
      <c r="L28" s="126">
        <f t="shared" si="3"/>
        <v>6435</v>
      </c>
      <c r="M28" s="126">
        <f t="shared" si="3"/>
        <v>6300</v>
      </c>
      <c r="N28" s="126">
        <f t="shared" si="3"/>
        <v>5945</v>
      </c>
      <c r="O28" s="126">
        <f t="shared" si="3"/>
        <v>5891</v>
      </c>
      <c r="P28" s="127">
        <f t="shared" si="2"/>
        <v>72250</v>
      </c>
      <c r="Q28" s="124"/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T49"/>
  <sheetViews>
    <sheetView showGridLines="0" zoomScaleNormal="100" workbookViewId="0">
      <pane xSplit="2" ySplit="4" topLeftCell="C23" activePane="bottomRight" state="frozen"/>
      <selection pane="topRight" activeCell="C1" sqref="C1"/>
      <selection pane="bottomLeft" activeCell="A5" sqref="A5"/>
      <selection pane="bottomRight"/>
    </sheetView>
  </sheetViews>
  <sheetFormatPr baseColWidth="10" defaultColWidth="8.6640625" defaultRowHeight="15" x14ac:dyDescent="0.2"/>
  <cols>
    <col min="1" max="1" width="5" customWidth="1"/>
    <col min="2" max="2" width="8" customWidth="1"/>
    <col min="3" max="3" width="22" customWidth="1"/>
    <col min="4" max="4" width="14" customWidth="1"/>
    <col min="5" max="5" width="10" customWidth="1"/>
    <col min="6" max="6" width="8" customWidth="1"/>
    <col min="7" max="20" width="10" customWidth="1"/>
  </cols>
  <sheetData>
    <row r="1" spans="1:20" ht="27.75" customHeight="1" thickBot="1" x14ac:dyDescent="0.25">
      <c r="A1" s="59" t="s">
        <v>221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</row>
    <row r="2" spans="1:20" ht="13.5" customHeight="1" x14ac:dyDescent="0.2">
      <c r="A2" s="61" t="s">
        <v>222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</row>
    <row r="3" spans="1:20" ht="7.5" customHeight="1" x14ac:dyDescent="0.2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</row>
    <row r="4" spans="1:20" ht="15.75" customHeight="1" x14ac:dyDescent="0.2">
      <c r="A4" s="142" t="s">
        <v>223</v>
      </c>
      <c r="B4" s="143"/>
      <c r="C4" s="143"/>
      <c r="D4" s="143"/>
      <c r="E4" s="143"/>
      <c r="F4" s="143"/>
      <c r="G4" s="143"/>
      <c r="H4" s="143"/>
      <c r="I4" s="143"/>
      <c r="J4" s="143"/>
      <c r="K4" s="143"/>
      <c r="L4" s="143"/>
      <c r="M4" s="143"/>
      <c r="N4" s="143"/>
      <c r="O4" s="143"/>
      <c r="P4" s="143"/>
      <c r="Q4" s="143"/>
      <c r="R4" s="143"/>
      <c r="S4" s="143"/>
      <c r="T4" s="143"/>
    </row>
    <row r="5" spans="1:20" ht="36" customHeight="1" x14ac:dyDescent="0.2">
      <c r="A5" s="141"/>
      <c r="B5" s="144" t="s">
        <v>224</v>
      </c>
      <c r="C5" s="144" t="s">
        <v>225</v>
      </c>
      <c r="D5" s="144" t="s">
        <v>226</v>
      </c>
      <c r="E5" s="144" t="s">
        <v>227</v>
      </c>
      <c r="F5" s="144" t="s">
        <v>228</v>
      </c>
      <c r="G5" s="144" t="s">
        <v>229</v>
      </c>
      <c r="H5" s="144" t="s">
        <v>230</v>
      </c>
      <c r="I5" s="145" t="s">
        <v>231</v>
      </c>
      <c r="J5" s="145" t="s">
        <v>232</v>
      </c>
      <c r="K5" s="145" t="s">
        <v>233</v>
      </c>
      <c r="L5" s="145" t="s">
        <v>234</v>
      </c>
      <c r="M5" s="145" t="s">
        <v>235</v>
      </c>
      <c r="N5" s="145" t="s">
        <v>236</v>
      </c>
      <c r="O5" s="145" t="s">
        <v>237</v>
      </c>
      <c r="P5" s="145" t="s">
        <v>238</v>
      </c>
      <c r="Q5" s="145" t="s">
        <v>239</v>
      </c>
      <c r="R5" s="145" t="s">
        <v>240</v>
      </c>
      <c r="S5" s="145" t="s">
        <v>241</v>
      </c>
      <c r="T5" s="145" t="s">
        <v>242</v>
      </c>
    </row>
    <row r="6" spans="1:20" ht="19.5" customHeight="1" x14ac:dyDescent="0.2">
      <c r="B6" s="146" t="s">
        <v>243</v>
      </c>
      <c r="C6" s="147" t="s">
        <v>244</v>
      </c>
      <c r="D6" s="147" t="s">
        <v>245</v>
      </c>
      <c r="E6" s="148" t="s">
        <v>246</v>
      </c>
      <c r="F6" s="149">
        <v>1</v>
      </c>
      <c r="G6" s="109">
        <v>1.2</v>
      </c>
      <c r="H6" s="149">
        <v>20</v>
      </c>
      <c r="I6" s="150">
        <v>0</v>
      </c>
      <c r="J6" s="150">
        <v>0</v>
      </c>
      <c r="K6" s="150">
        <v>25</v>
      </c>
      <c r="L6" s="150">
        <v>50</v>
      </c>
      <c r="M6" s="150">
        <v>100</v>
      </c>
      <c r="N6" s="150">
        <v>160</v>
      </c>
      <c r="O6" s="150">
        <v>200</v>
      </c>
      <c r="P6" s="150">
        <v>200</v>
      </c>
      <c r="Q6" s="150">
        <v>140</v>
      </c>
      <c r="R6" s="150">
        <v>60</v>
      </c>
      <c r="S6" s="150">
        <v>20</v>
      </c>
      <c r="T6" s="151">
        <v>0</v>
      </c>
    </row>
    <row r="7" spans="1:20" ht="19.5" customHeight="1" x14ac:dyDescent="0.2">
      <c r="B7" s="152" t="s">
        <v>247</v>
      </c>
      <c r="C7" s="42" t="s">
        <v>248</v>
      </c>
      <c r="D7" s="42" t="s">
        <v>249</v>
      </c>
      <c r="E7" s="46" t="s">
        <v>250</v>
      </c>
      <c r="F7" s="153">
        <v>2</v>
      </c>
      <c r="G7" s="113">
        <v>0.6</v>
      </c>
      <c r="H7" s="153">
        <v>25</v>
      </c>
      <c r="I7" s="154">
        <v>30</v>
      </c>
      <c r="J7" s="154">
        <v>30</v>
      </c>
      <c r="K7" s="154">
        <v>40</v>
      </c>
      <c r="L7" s="154">
        <v>50</v>
      </c>
      <c r="M7" s="154">
        <v>70</v>
      </c>
      <c r="N7" s="154">
        <v>100</v>
      </c>
      <c r="O7" s="154">
        <v>130</v>
      </c>
      <c r="P7" s="154">
        <v>130</v>
      </c>
      <c r="Q7" s="154">
        <v>100</v>
      </c>
      <c r="R7" s="154">
        <v>60</v>
      </c>
      <c r="S7" s="154">
        <v>40</v>
      </c>
      <c r="T7" s="155">
        <v>30</v>
      </c>
    </row>
    <row r="8" spans="1:20" ht="19.5" customHeight="1" x14ac:dyDescent="0.2">
      <c r="B8" s="156" t="s">
        <v>251</v>
      </c>
      <c r="C8" s="42" t="s">
        <v>252</v>
      </c>
      <c r="D8" s="42" t="s">
        <v>249</v>
      </c>
      <c r="E8" s="46" t="s">
        <v>253</v>
      </c>
      <c r="F8" s="153">
        <v>1</v>
      </c>
      <c r="G8" s="113">
        <v>0.3</v>
      </c>
      <c r="H8" s="153">
        <v>25</v>
      </c>
      <c r="I8" s="154">
        <v>80</v>
      </c>
      <c r="J8" s="154">
        <v>80</v>
      </c>
      <c r="K8" s="154">
        <v>80</v>
      </c>
      <c r="L8" s="154">
        <v>80</v>
      </c>
      <c r="M8" s="154">
        <v>80</v>
      </c>
      <c r="N8" s="154">
        <v>80</v>
      </c>
      <c r="O8" s="154">
        <v>80</v>
      </c>
      <c r="P8" s="154">
        <v>80</v>
      </c>
      <c r="Q8" s="154">
        <v>80</v>
      </c>
      <c r="R8" s="154">
        <v>80</v>
      </c>
      <c r="S8" s="154">
        <v>80</v>
      </c>
      <c r="T8" s="155">
        <v>80</v>
      </c>
    </row>
    <row r="9" spans="1:20" ht="19.5" customHeight="1" x14ac:dyDescent="0.2">
      <c r="B9" s="152" t="s">
        <v>254</v>
      </c>
      <c r="C9" s="42" t="s">
        <v>255</v>
      </c>
      <c r="D9" s="42" t="s">
        <v>256</v>
      </c>
      <c r="E9" s="46" t="s">
        <v>257</v>
      </c>
      <c r="F9" s="153">
        <v>2</v>
      </c>
      <c r="G9" s="113">
        <v>3</v>
      </c>
      <c r="H9" s="153">
        <v>15</v>
      </c>
      <c r="I9" s="154">
        <v>0</v>
      </c>
      <c r="J9" s="154">
        <v>0</v>
      </c>
      <c r="K9" s="154">
        <v>0</v>
      </c>
      <c r="L9" s="154">
        <v>0</v>
      </c>
      <c r="M9" s="154">
        <v>0</v>
      </c>
      <c r="N9" s="154">
        <v>0</v>
      </c>
      <c r="O9" s="154">
        <v>0</v>
      </c>
      <c r="P9" s="154">
        <v>0</v>
      </c>
      <c r="Q9" s="154">
        <v>0</v>
      </c>
      <c r="R9" s="154">
        <v>0</v>
      </c>
      <c r="S9" s="154">
        <v>0</v>
      </c>
      <c r="T9" s="155">
        <v>0</v>
      </c>
    </row>
    <row r="10" spans="1:20" ht="19.5" customHeight="1" x14ac:dyDescent="0.2">
      <c r="B10" s="156" t="s">
        <v>258</v>
      </c>
      <c r="C10" s="42" t="s">
        <v>259</v>
      </c>
      <c r="D10" s="42" t="s">
        <v>256</v>
      </c>
      <c r="E10" s="46" t="s">
        <v>260</v>
      </c>
      <c r="F10" s="153">
        <v>2</v>
      </c>
      <c r="G10" s="113">
        <v>1.5</v>
      </c>
      <c r="H10" s="153">
        <v>15</v>
      </c>
      <c r="I10" s="154">
        <v>0</v>
      </c>
      <c r="J10" s="154">
        <v>0</v>
      </c>
      <c r="K10" s="154">
        <v>0</v>
      </c>
      <c r="L10" s="154">
        <v>0</v>
      </c>
      <c r="M10" s="154">
        <v>0</v>
      </c>
      <c r="N10" s="154">
        <v>0</v>
      </c>
      <c r="O10" s="154">
        <v>0</v>
      </c>
      <c r="P10" s="154">
        <v>0</v>
      </c>
      <c r="Q10" s="154">
        <v>0</v>
      </c>
      <c r="R10" s="154">
        <v>0</v>
      </c>
      <c r="S10" s="154">
        <v>0</v>
      </c>
      <c r="T10" s="155">
        <v>0</v>
      </c>
    </row>
    <row r="11" spans="1:20" ht="19.5" customHeight="1" x14ac:dyDescent="0.2">
      <c r="B11" s="152" t="s">
        <v>261</v>
      </c>
      <c r="C11" s="42" t="s">
        <v>262</v>
      </c>
      <c r="D11" s="42" t="s">
        <v>256</v>
      </c>
      <c r="E11" s="46" t="s">
        <v>257</v>
      </c>
      <c r="F11" s="153">
        <v>1</v>
      </c>
      <c r="G11" s="113">
        <v>4</v>
      </c>
      <c r="H11" s="153">
        <v>15</v>
      </c>
      <c r="I11" s="154">
        <v>0</v>
      </c>
      <c r="J11" s="154">
        <v>0</v>
      </c>
      <c r="K11" s="154">
        <v>0</v>
      </c>
      <c r="L11" s="154">
        <v>0</v>
      </c>
      <c r="M11" s="154">
        <v>0</v>
      </c>
      <c r="N11" s="154">
        <v>0</v>
      </c>
      <c r="O11" s="154">
        <v>0</v>
      </c>
      <c r="P11" s="154">
        <v>0</v>
      </c>
      <c r="Q11" s="154">
        <v>0</v>
      </c>
      <c r="R11" s="154">
        <v>0</v>
      </c>
      <c r="S11" s="154">
        <v>0</v>
      </c>
      <c r="T11" s="155">
        <v>0</v>
      </c>
    </row>
    <row r="12" spans="1:20" ht="19.5" customHeight="1" x14ac:dyDescent="0.2">
      <c r="B12" s="156" t="s">
        <v>263</v>
      </c>
      <c r="C12" s="42" t="s">
        <v>264</v>
      </c>
      <c r="D12" s="42" t="s">
        <v>256</v>
      </c>
      <c r="E12" s="46" t="s">
        <v>265</v>
      </c>
      <c r="F12" s="153">
        <v>3</v>
      </c>
      <c r="G12" s="113">
        <v>0.8</v>
      </c>
      <c r="H12" s="153">
        <v>15</v>
      </c>
      <c r="I12" s="154">
        <v>0</v>
      </c>
      <c r="J12" s="154">
        <v>0</v>
      </c>
      <c r="K12" s="154">
        <v>0</v>
      </c>
      <c r="L12" s="154">
        <v>0</v>
      </c>
      <c r="M12" s="154">
        <v>0</v>
      </c>
      <c r="N12" s="154">
        <v>0</v>
      </c>
      <c r="O12" s="154">
        <v>0</v>
      </c>
      <c r="P12" s="154">
        <v>0</v>
      </c>
      <c r="Q12" s="154">
        <v>0</v>
      </c>
      <c r="R12" s="154">
        <v>0</v>
      </c>
      <c r="S12" s="154">
        <v>0</v>
      </c>
      <c r="T12" s="155">
        <v>0</v>
      </c>
    </row>
    <row r="13" spans="1:20" ht="19.5" customHeight="1" x14ac:dyDescent="0.2">
      <c r="B13" s="152" t="s">
        <v>266</v>
      </c>
      <c r="C13" s="42" t="s">
        <v>267</v>
      </c>
      <c r="D13" s="42" t="s">
        <v>256</v>
      </c>
      <c r="E13" s="46" t="s">
        <v>268</v>
      </c>
      <c r="F13" s="153">
        <v>4</v>
      </c>
      <c r="G13" s="113">
        <v>0.5</v>
      </c>
      <c r="H13" s="153">
        <v>20</v>
      </c>
      <c r="I13" s="154">
        <v>0</v>
      </c>
      <c r="J13" s="154">
        <v>0</v>
      </c>
      <c r="K13" s="154">
        <v>0</v>
      </c>
      <c r="L13" s="154">
        <v>0</v>
      </c>
      <c r="M13" s="154">
        <v>0</v>
      </c>
      <c r="N13" s="154">
        <v>0</v>
      </c>
      <c r="O13" s="154">
        <v>0</v>
      </c>
      <c r="P13" s="154">
        <v>0</v>
      </c>
      <c r="Q13" s="154">
        <v>0</v>
      </c>
      <c r="R13" s="154">
        <v>0</v>
      </c>
      <c r="S13" s="154">
        <v>0</v>
      </c>
      <c r="T13" s="155">
        <v>0</v>
      </c>
    </row>
    <row r="14" spans="1:20" ht="19.5" customHeight="1" x14ac:dyDescent="0.2">
      <c r="B14" s="156" t="s">
        <v>269</v>
      </c>
      <c r="C14" s="42" t="s">
        <v>270</v>
      </c>
      <c r="D14" s="42" t="s">
        <v>271</v>
      </c>
      <c r="E14" s="46" t="s">
        <v>272</v>
      </c>
      <c r="F14" s="153">
        <v>1</v>
      </c>
      <c r="G14" s="113">
        <v>1.5</v>
      </c>
      <c r="H14" s="153">
        <v>10</v>
      </c>
      <c r="I14" s="154">
        <v>0</v>
      </c>
      <c r="J14" s="154">
        <v>0</v>
      </c>
      <c r="K14" s="154">
        <v>0</v>
      </c>
      <c r="L14" s="154">
        <v>0</v>
      </c>
      <c r="M14" s="154">
        <v>0</v>
      </c>
      <c r="N14" s="154">
        <v>0</v>
      </c>
      <c r="O14" s="154">
        <v>0</v>
      </c>
      <c r="P14" s="154">
        <v>0</v>
      </c>
      <c r="Q14" s="154">
        <v>0</v>
      </c>
      <c r="R14" s="154">
        <v>0</v>
      </c>
      <c r="S14" s="154">
        <v>0</v>
      </c>
      <c r="T14" s="155">
        <v>0</v>
      </c>
    </row>
    <row r="15" spans="1:20" ht="19.5" customHeight="1" x14ac:dyDescent="0.2">
      <c r="B15" s="152" t="s">
        <v>273</v>
      </c>
      <c r="C15" s="42" t="s">
        <v>106</v>
      </c>
      <c r="D15" s="42" t="s">
        <v>271</v>
      </c>
      <c r="E15" s="46" t="s">
        <v>274</v>
      </c>
      <c r="F15" s="153">
        <v>1</v>
      </c>
      <c r="G15" s="113">
        <v>1.2</v>
      </c>
      <c r="H15" s="153">
        <v>15</v>
      </c>
      <c r="I15" s="154">
        <v>0</v>
      </c>
      <c r="J15" s="154">
        <v>0</v>
      </c>
      <c r="K15" s="154">
        <v>0</v>
      </c>
      <c r="L15" s="154">
        <v>0</v>
      </c>
      <c r="M15" s="154">
        <v>0</v>
      </c>
      <c r="N15" s="154">
        <v>0</v>
      </c>
      <c r="O15" s="154">
        <v>0</v>
      </c>
      <c r="P15" s="154">
        <v>0</v>
      </c>
      <c r="Q15" s="154">
        <v>0</v>
      </c>
      <c r="R15" s="154">
        <v>0</v>
      </c>
      <c r="S15" s="154">
        <v>0</v>
      </c>
      <c r="T15" s="155">
        <v>0</v>
      </c>
    </row>
    <row r="16" spans="1:20" ht="19.5" customHeight="1" x14ac:dyDescent="0.2">
      <c r="B16" s="156" t="s">
        <v>275</v>
      </c>
      <c r="C16" s="42" t="s">
        <v>276</v>
      </c>
      <c r="D16" s="42" t="s">
        <v>271</v>
      </c>
      <c r="E16" s="46" t="s">
        <v>265</v>
      </c>
      <c r="F16" s="153">
        <v>2</v>
      </c>
      <c r="G16" s="113">
        <v>1.8</v>
      </c>
      <c r="H16" s="153">
        <v>15</v>
      </c>
      <c r="I16" s="154">
        <v>0</v>
      </c>
      <c r="J16" s="154">
        <v>0</v>
      </c>
      <c r="K16" s="154">
        <v>0</v>
      </c>
      <c r="L16" s="154">
        <v>0</v>
      </c>
      <c r="M16" s="154">
        <v>0</v>
      </c>
      <c r="N16" s="154">
        <v>0</v>
      </c>
      <c r="O16" s="154">
        <v>0</v>
      </c>
      <c r="P16" s="154">
        <v>0</v>
      </c>
      <c r="Q16" s="154">
        <v>0</v>
      </c>
      <c r="R16" s="154">
        <v>0</v>
      </c>
      <c r="S16" s="154">
        <v>0</v>
      </c>
      <c r="T16" s="155">
        <v>0</v>
      </c>
    </row>
    <row r="17" spans="1:20" ht="19.5" customHeight="1" x14ac:dyDescent="0.2">
      <c r="B17" s="152" t="s">
        <v>277</v>
      </c>
      <c r="C17" s="42" t="s">
        <v>278</v>
      </c>
      <c r="D17" s="42" t="s">
        <v>271</v>
      </c>
      <c r="E17" s="46" t="s">
        <v>279</v>
      </c>
      <c r="F17" s="153">
        <v>1</v>
      </c>
      <c r="G17" s="113">
        <v>0.8</v>
      </c>
      <c r="H17" s="153">
        <v>10</v>
      </c>
      <c r="I17" s="154">
        <v>0</v>
      </c>
      <c r="J17" s="154">
        <v>0</v>
      </c>
      <c r="K17" s="154">
        <v>0</v>
      </c>
      <c r="L17" s="154">
        <v>0</v>
      </c>
      <c r="M17" s="154">
        <v>0</v>
      </c>
      <c r="N17" s="154">
        <v>0</v>
      </c>
      <c r="O17" s="154">
        <v>0</v>
      </c>
      <c r="P17" s="154">
        <v>0</v>
      </c>
      <c r="Q17" s="154">
        <v>0</v>
      </c>
      <c r="R17" s="154">
        <v>0</v>
      </c>
      <c r="S17" s="154">
        <v>0</v>
      </c>
      <c r="T17" s="155">
        <v>0</v>
      </c>
    </row>
    <row r="18" spans="1:20" ht="19.5" customHeight="1" x14ac:dyDescent="0.2">
      <c r="B18" s="156" t="s">
        <v>280</v>
      </c>
      <c r="C18" s="42" t="s">
        <v>281</v>
      </c>
      <c r="D18" s="42" t="s">
        <v>271</v>
      </c>
      <c r="E18" s="46" t="s">
        <v>250</v>
      </c>
      <c r="F18" s="153">
        <v>3</v>
      </c>
      <c r="G18" s="113">
        <v>0.8</v>
      </c>
      <c r="H18" s="153">
        <v>20</v>
      </c>
      <c r="I18" s="154">
        <v>0</v>
      </c>
      <c r="J18" s="154">
        <v>0</v>
      </c>
      <c r="K18" s="154">
        <v>0</v>
      </c>
      <c r="L18" s="154">
        <v>0</v>
      </c>
      <c r="M18" s="154">
        <v>0</v>
      </c>
      <c r="N18" s="154">
        <v>0</v>
      </c>
      <c r="O18" s="154">
        <v>0</v>
      </c>
      <c r="P18" s="154">
        <v>0</v>
      </c>
      <c r="Q18" s="154">
        <v>0</v>
      </c>
      <c r="R18" s="154">
        <v>0</v>
      </c>
      <c r="S18" s="154">
        <v>0</v>
      </c>
      <c r="T18" s="155">
        <v>0</v>
      </c>
    </row>
    <row r="19" spans="1:20" ht="19.5" customHeight="1" x14ac:dyDescent="0.2">
      <c r="B19" s="152" t="s">
        <v>282</v>
      </c>
      <c r="C19" s="42" t="s">
        <v>283</v>
      </c>
      <c r="D19" s="42" t="s">
        <v>87</v>
      </c>
      <c r="E19" s="46" t="s">
        <v>284</v>
      </c>
      <c r="F19" s="153">
        <v>1</v>
      </c>
      <c r="G19" s="113">
        <v>1</v>
      </c>
      <c r="H19" s="153">
        <v>20</v>
      </c>
      <c r="I19" s="154">
        <v>0</v>
      </c>
      <c r="J19" s="154">
        <v>0</v>
      </c>
      <c r="K19" s="154">
        <v>0</v>
      </c>
      <c r="L19" s="154">
        <v>0</v>
      </c>
      <c r="M19" s="154">
        <v>0</v>
      </c>
      <c r="N19" s="154">
        <v>0</v>
      </c>
      <c r="O19" s="154">
        <v>0</v>
      </c>
      <c r="P19" s="154">
        <v>0</v>
      </c>
      <c r="Q19" s="154">
        <v>0</v>
      </c>
      <c r="R19" s="154">
        <v>0</v>
      </c>
      <c r="S19" s="154">
        <v>0</v>
      </c>
      <c r="T19" s="155">
        <v>0</v>
      </c>
    </row>
    <row r="20" spans="1:20" ht="19.5" customHeight="1" x14ac:dyDescent="0.2">
      <c r="B20" s="156" t="s">
        <v>285</v>
      </c>
      <c r="C20" s="42" t="s">
        <v>286</v>
      </c>
      <c r="D20" s="42" t="s">
        <v>249</v>
      </c>
      <c r="E20" s="46" t="s">
        <v>253</v>
      </c>
      <c r="F20" s="153">
        <v>1</v>
      </c>
      <c r="G20" s="113">
        <v>0.8</v>
      </c>
      <c r="H20" s="153">
        <v>25</v>
      </c>
      <c r="I20" s="154">
        <v>80</v>
      </c>
      <c r="J20" s="154">
        <v>80</v>
      </c>
      <c r="K20" s="154">
        <v>80</v>
      </c>
      <c r="L20" s="154">
        <v>80</v>
      </c>
      <c r="M20" s="154">
        <v>80</v>
      </c>
      <c r="N20" s="154">
        <v>80</v>
      </c>
      <c r="O20" s="154">
        <v>80</v>
      </c>
      <c r="P20" s="154">
        <v>80</v>
      </c>
      <c r="Q20" s="154">
        <v>80</v>
      </c>
      <c r="R20" s="154">
        <v>80</v>
      </c>
      <c r="S20" s="154">
        <v>80</v>
      </c>
      <c r="T20" s="155">
        <v>80</v>
      </c>
    </row>
    <row r="21" spans="1:20" ht="19.5" customHeight="1" x14ac:dyDescent="0.2">
      <c r="B21" s="152" t="s">
        <v>287</v>
      </c>
      <c r="C21" s="42" t="s">
        <v>288</v>
      </c>
      <c r="D21" s="42" t="s">
        <v>87</v>
      </c>
      <c r="E21" s="46" t="s">
        <v>257</v>
      </c>
      <c r="F21" s="153">
        <v>2</v>
      </c>
      <c r="G21" s="113">
        <v>0.3</v>
      </c>
      <c r="H21" s="153">
        <v>20</v>
      </c>
      <c r="I21" s="154">
        <v>100</v>
      </c>
      <c r="J21" s="154">
        <v>100</v>
      </c>
      <c r="K21" s="154">
        <v>100</v>
      </c>
      <c r="L21" s="154">
        <v>100</v>
      </c>
      <c r="M21" s="154">
        <v>100</v>
      </c>
      <c r="N21" s="154">
        <v>100</v>
      </c>
      <c r="O21" s="154">
        <v>100</v>
      </c>
      <c r="P21" s="154">
        <v>100</v>
      </c>
      <c r="Q21" s="154">
        <v>100</v>
      </c>
      <c r="R21" s="154">
        <v>100</v>
      </c>
      <c r="S21" s="154">
        <v>100</v>
      </c>
      <c r="T21" s="155">
        <v>100</v>
      </c>
    </row>
    <row r="22" spans="1:20" ht="19.5" customHeight="1" x14ac:dyDescent="0.2">
      <c r="B22" s="156" t="s">
        <v>289</v>
      </c>
      <c r="C22" s="42" t="s">
        <v>290</v>
      </c>
      <c r="D22" s="42" t="s">
        <v>291</v>
      </c>
      <c r="E22" s="46" t="s">
        <v>292</v>
      </c>
      <c r="F22" s="153">
        <v>1</v>
      </c>
      <c r="G22" s="113">
        <v>0.5</v>
      </c>
      <c r="H22" s="153">
        <v>10</v>
      </c>
      <c r="I22" s="154">
        <v>200</v>
      </c>
      <c r="J22" s="154">
        <v>176</v>
      </c>
      <c r="K22" s="154">
        <v>224</v>
      </c>
      <c r="L22" s="154">
        <v>240</v>
      </c>
      <c r="M22" s="154">
        <v>264</v>
      </c>
      <c r="N22" s="154">
        <v>296</v>
      </c>
      <c r="O22" s="154">
        <v>320</v>
      </c>
      <c r="P22" s="154">
        <v>320</v>
      </c>
      <c r="Q22" s="154">
        <v>280</v>
      </c>
      <c r="R22" s="154">
        <v>256</v>
      </c>
      <c r="S22" s="154">
        <v>224</v>
      </c>
      <c r="T22" s="155">
        <v>200</v>
      </c>
    </row>
    <row r="23" spans="1:20" ht="19.5" customHeight="1" x14ac:dyDescent="0.2">
      <c r="B23" s="152" t="s">
        <v>293</v>
      </c>
      <c r="C23" s="42"/>
      <c r="D23" s="42"/>
      <c r="E23" s="46"/>
      <c r="F23" s="153"/>
      <c r="G23" s="113"/>
      <c r="H23" s="153"/>
      <c r="I23" s="154">
        <v>0</v>
      </c>
      <c r="J23" s="154">
        <v>0</v>
      </c>
      <c r="K23" s="154">
        <v>0</v>
      </c>
      <c r="L23" s="154">
        <v>0</v>
      </c>
      <c r="M23" s="154">
        <v>0</v>
      </c>
      <c r="N23" s="154">
        <v>0</v>
      </c>
      <c r="O23" s="154">
        <v>0</v>
      </c>
      <c r="P23" s="154">
        <v>0</v>
      </c>
      <c r="Q23" s="154">
        <v>0</v>
      </c>
      <c r="R23" s="154">
        <v>0</v>
      </c>
      <c r="S23" s="154">
        <v>0</v>
      </c>
      <c r="T23" s="155">
        <v>0</v>
      </c>
    </row>
    <row r="24" spans="1:20" ht="19.5" customHeight="1" x14ac:dyDescent="0.2">
      <c r="B24" s="156" t="s">
        <v>294</v>
      </c>
      <c r="C24" s="42"/>
      <c r="D24" s="42"/>
      <c r="E24" s="46"/>
      <c r="F24" s="153"/>
      <c r="G24" s="113"/>
      <c r="H24" s="153"/>
      <c r="I24" s="154">
        <v>0</v>
      </c>
      <c r="J24" s="154">
        <v>0</v>
      </c>
      <c r="K24" s="154">
        <v>0</v>
      </c>
      <c r="L24" s="154">
        <v>0</v>
      </c>
      <c r="M24" s="154">
        <v>0</v>
      </c>
      <c r="N24" s="154">
        <v>0</v>
      </c>
      <c r="O24" s="154">
        <v>0</v>
      </c>
      <c r="P24" s="154">
        <v>0</v>
      </c>
      <c r="Q24" s="154">
        <v>0</v>
      </c>
      <c r="R24" s="154">
        <v>0</v>
      </c>
      <c r="S24" s="154">
        <v>0</v>
      </c>
      <c r="T24" s="155">
        <v>0</v>
      </c>
    </row>
    <row r="25" spans="1:20" ht="19.5" customHeight="1" x14ac:dyDescent="0.2">
      <c r="B25" s="157" t="s">
        <v>295</v>
      </c>
      <c r="C25" s="41"/>
      <c r="D25" s="41"/>
      <c r="E25" s="158"/>
      <c r="F25" s="159"/>
      <c r="G25" s="160"/>
      <c r="H25" s="159"/>
      <c r="I25" s="161">
        <v>0</v>
      </c>
      <c r="J25" s="161">
        <v>0</v>
      </c>
      <c r="K25" s="161">
        <v>0</v>
      </c>
      <c r="L25" s="161">
        <v>0</v>
      </c>
      <c r="M25" s="161">
        <v>0</v>
      </c>
      <c r="N25" s="161">
        <v>0</v>
      </c>
      <c r="O25" s="161">
        <v>0</v>
      </c>
      <c r="P25" s="161">
        <v>0</v>
      </c>
      <c r="Q25" s="161">
        <v>0</v>
      </c>
      <c r="R25" s="161">
        <v>0</v>
      </c>
      <c r="S25" s="161">
        <v>0</v>
      </c>
      <c r="T25" s="162">
        <v>0</v>
      </c>
    </row>
    <row r="26" spans="1:20" ht="7.5" customHeight="1" x14ac:dyDescent="0.2"/>
    <row r="27" spans="1:20" ht="15.75" customHeight="1" x14ac:dyDescent="0.2">
      <c r="A27" s="142" t="s">
        <v>296</v>
      </c>
      <c r="B27" s="143"/>
      <c r="C27" s="143"/>
      <c r="D27" s="143"/>
      <c r="E27" s="143"/>
      <c r="F27" s="143"/>
      <c r="G27" s="143"/>
      <c r="H27" s="143"/>
      <c r="I27" s="143"/>
      <c r="J27" s="143"/>
      <c r="K27" s="143"/>
      <c r="L27" s="143"/>
      <c r="M27" s="143"/>
      <c r="N27" s="143"/>
      <c r="O27" s="143"/>
      <c r="P27" s="143"/>
      <c r="Q27" s="143"/>
      <c r="R27" s="143"/>
      <c r="S27" s="143"/>
      <c r="T27" s="143"/>
    </row>
    <row r="28" spans="1:20" ht="36" customHeight="1" x14ac:dyDescent="0.2">
      <c r="A28" s="144"/>
      <c r="B28" s="144" t="s">
        <v>224</v>
      </c>
      <c r="C28" s="144" t="s">
        <v>225</v>
      </c>
      <c r="D28" s="144" t="s">
        <v>226</v>
      </c>
      <c r="E28" s="144" t="s">
        <v>227</v>
      </c>
      <c r="F28" s="144" t="s">
        <v>228</v>
      </c>
      <c r="G28" s="144" t="s">
        <v>229</v>
      </c>
      <c r="H28" s="144" t="s">
        <v>230</v>
      </c>
      <c r="I28" s="145" t="s">
        <v>297</v>
      </c>
      <c r="J28" s="145" t="s">
        <v>298</v>
      </c>
      <c r="K28" s="145" t="s">
        <v>299</v>
      </c>
      <c r="L28" s="145" t="s">
        <v>300</v>
      </c>
      <c r="M28" s="145" t="s">
        <v>301</v>
      </c>
      <c r="N28" s="145" t="s">
        <v>302</v>
      </c>
      <c r="O28" s="145" t="s">
        <v>303</v>
      </c>
      <c r="P28" s="145" t="s">
        <v>304</v>
      </c>
      <c r="Q28" s="145" t="s">
        <v>305</v>
      </c>
      <c r="R28" s="145" t="s">
        <v>306</v>
      </c>
      <c r="S28" s="145" t="s">
        <v>307</v>
      </c>
      <c r="T28" s="145" t="s">
        <v>308</v>
      </c>
    </row>
    <row r="29" spans="1:20" ht="19.5" customHeight="1" x14ac:dyDescent="0.2">
      <c r="A29" s="166">
        <f t="shared" ref="A29:H38" si="0">A6</f>
        <v>0</v>
      </c>
      <c r="B29" s="167" t="str">
        <f t="shared" si="0"/>
        <v>EK-001</v>
      </c>
      <c r="C29" s="168" t="str">
        <f t="shared" si="0"/>
        <v>Bahçe Sulama Otomasyonu</v>
      </c>
      <c r="D29" s="168" t="str">
        <f t="shared" si="0"/>
        <v>Peyzaj</v>
      </c>
      <c r="E29" s="167" t="str">
        <f t="shared" si="0"/>
        <v>Sulama</v>
      </c>
      <c r="F29" s="169">
        <f t="shared" si="0"/>
        <v>1</v>
      </c>
      <c r="G29" s="170">
        <f t="shared" si="0"/>
        <v>1.2</v>
      </c>
      <c r="H29" s="169">
        <f t="shared" si="0"/>
        <v>20</v>
      </c>
      <c r="I29" s="170">
        <f t="shared" ref="I29:I48" si="1">IFERROR(F6*G6*I6,0)</f>
        <v>0</v>
      </c>
      <c r="J29" s="170">
        <f t="shared" ref="J29:J48" si="2">IFERROR(F6*G6*J6,0)</f>
        <v>0</v>
      </c>
      <c r="K29" s="170">
        <f t="shared" ref="K29:K48" si="3">IFERROR(F6*G6*K6,0)</f>
        <v>30</v>
      </c>
      <c r="L29" s="170">
        <f t="shared" ref="L29:L48" si="4">IFERROR(F6*G6*L6,0)</f>
        <v>60</v>
      </c>
      <c r="M29" s="170">
        <f t="shared" ref="M29:M48" si="5">IFERROR(F6*G6*M6,0)</f>
        <v>120</v>
      </c>
      <c r="N29" s="170">
        <f t="shared" ref="N29:N48" si="6">IFERROR(F6*G6*N6,0)</f>
        <v>192</v>
      </c>
      <c r="O29" s="170">
        <f t="shared" ref="O29:O48" si="7">IFERROR(F6*G6*O6,0)</f>
        <v>240</v>
      </c>
      <c r="P29" s="170">
        <f t="shared" ref="P29:P48" si="8">IFERROR(F6*G6*P6,0)</f>
        <v>240</v>
      </c>
      <c r="Q29" s="170">
        <f t="shared" ref="Q29:Q48" si="9">IFERROR(F6*G6*Q6,0)</f>
        <v>168</v>
      </c>
      <c r="R29" s="170">
        <f t="shared" ref="R29:R48" si="10">IFERROR(F6*G6*R6,0)</f>
        <v>72</v>
      </c>
      <c r="S29" s="170">
        <f t="shared" ref="S29:S48" si="11">IFERROR(F6*G6*S6,0)</f>
        <v>24</v>
      </c>
      <c r="T29" s="171">
        <f t="shared" ref="T29:T48" si="12">IFERROR(F6*G6*T6,0)</f>
        <v>0</v>
      </c>
    </row>
    <row r="30" spans="1:20" ht="19.5" customHeight="1" x14ac:dyDescent="0.2">
      <c r="A30" s="172">
        <f t="shared" si="0"/>
        <v>0</v>
      </c>
      <c r="B30" s="173" t="str">
        <f t="shared" si="0"/>
        <v>EK-002</v>
      </c>
      <c r="C30" s="174" t="str">
        <f t="shared" si="0"/>
        <v>Zemin Yıkama/Toz Bastırma</v>
      </c>
      <c r="D30" s="174" t="str">
        <f t="shared" si="0"/>
        <v>Diğer</v>
      </c>
      <c r="E30" s="173" t="str">
        <f t="shared" si="0"/>
        <v>Temizlik</v>
      </c>
      <c r="F30" s="175">
        <f t="shared" si="0"/>
        <v>2</v>
      </c>
      <c r="G30" s="176">
        <f t="shared" si="0"/>
        <v>0.6</v>
      </c>
      <c r="H30" s="175">
        <f t="shared" si="0"/>
        <v>25</v>
      </c>
      <c r="I30" s="176">
        <f t="shared" si="1"/>
        <v>36</v>
      </c>
      <c r="J30" s="176">
        <f t="shared" si="2"/>
        <v>36</v>
      </c>
      <c r="K30" s="176">
        <f t="shared" si="3"/>
        <v>48</v>
      </c>
      <c r="L30" s="176">
        <f t="shared" si="4"/>
        <v>60</v>
      </c>
      <c r="M30" s="176">
        <f t="shared" si="5"/>
        <v>84</v>
      </c>
      <c r="N30" s="176">
        <f t="shared" si="6"/>
        <v>120</v>
      </c>
      <c r="O30" s="176">
        <f t="shared" si="7"/>
        <v>156</v>
      </c>
      <c r="P30" s="176">
        <f t="shared" si="8"/>
        <v>156</v>
      </c>
      <c r="Q30" s="176">
        <f t="shared" si="9"/>
        <v>120</v>
      </c>
      <c r="R30" s="176">
        <f t="shared" si="10"/>
        <v>72</v>
      </c>
      <c r="S30" s="176">
        <f t="shared" si="11"/>
        <v>48</v>
      </c>
      <c r="T30" s="177">
        <f t="shared" si="12"/>
        <v>36</v>
      </c>
    </row>
    <row r="31" spans="1:20" ht="19.5" customHeight="1" x14ac:dyDescent="0.2">
      <c r="A31" s="178">
        <f t="shared" si="0"/>
        <v>0</v>
      </c>
      <c r="B31" s="179" t="str">
        <f t="shared" si="0"/>
        <v>EK-003</v>
      </c>
      <c r="C31" s="180" t="str">
        <f t="shared" si="0"/>
        <v>AAT Servis Suyu</v>
      </c>
      <c r="D31" s="180" t="str">
        <f t="shared" si="0"/>
        <v>Diğer</v>
      </c>
      <c r="E31" s="179" t="str">
        <f t="shared" si="0"/>
        <v>Servis</v>
      </c>
      <c r="F31" s="181">
        <f t="shared" si="0"/>
        <v>1</v>
      </c>
      <c r="G31" s="182">
        <f t="shared" si="0"/>
        <v>0.3</v>
      </c>
      <c r="H31" s="181">
        <f t="shared" si="0"/>
        <v>25</v>
      </c>
      <c r="I31" s="182">
        <f t="shared" si="1"/>
        <v>24</v>
      </c>
      <c r="J31" s="182">
        <f t="shared" si="2"/>
        <v>24</v>
      </c>
      <c r="K31" s="182">
        <f t="shared" si="3"/>
        <v>24</v>
      </c>
      <c r="L31" s="182">
        <f t="shared" si="4"/>
        <v>24</v>
      </c>
      <c r="M31" s="182">
        <f t="shared" si="5"/>
        <v>24</v>
      </c>
      <c r="N31" s="182">
        <f t="shared" si="6"/>
        <v>24</v>
      </c>
      <c r="O31" s="182">
        <f t="shared" si="7"/>
        <v>24</v>
      </c>
      <c r="P31" s="182">
        <f t="shared" si="8"/>
        <v>24</v>
      </c>
      <c r="Q31" s="182">
        <f t="shared" si="9"/>
        <v>24</v>
      </c>
      <c r="R31" s="182">
        <f t="shared" si="10"/>
        <v>24</v>
      </c>
      <c r="S31" s="182">
        <f t="shared" si="11"/>
        <v>24</v>
      </c>
      <c r="T31" s="183">
        <f t="shared" si="12"/>
        <v>24</v>
      </c>
    </row>
    <row r="32" spans="1:20" ht="19.5" customHeight="1" x14ac:dyDescent="0.2">
      <c r="A32" s="172">
        <f t="shared" si="0"/>
        <v>0</v>
      </c>
      <c r="B32" s="173" t="str">
        <f t="shared" si="0"/>
        <v>EK-004</v>
      </c>
      <c r="C32" s="174" t="str">
        <f t="shared" si="0"/>
        <v>Zeytin Yıkama Tamburu</v>
      </c>
      <c r="D32" s="174" t="str">
        <f t="shared" si="0"/>
        <v>Proses</v>
      </c>
      <c r="E32" s="173" t="str">
        <f t="shared" si="0"/>
        <v>Yıkama</v>
      </c>
      <c r="F32" s="175">
        <f t="shared" si="0"/>
        <v>2</v>
      </c>
      <c r="G32" s="176">
        <f t="shared" si="0"/>
        <v>3</v>
      </c>
      <c r="H32" s="175">
        <f t="shared" si="0"/>
        <v>15</v>
      </c>
      <c r="I32" s="176">
        <f t="shared" si="1"/>
        <v>0</v>
      </c>
      <c r="J32" s="176">
        <f t="shared" si="2"/>
        <v>0</v>
      </c>
      <c r="K32" s="176">
        <f t="shared" si="3"/>
        <v>0</v>
      </c>
      <c r="L32" s="176">
        <f t="shared" si="4"/>
        <v>0</v>
      </c>
      <c r="M32" s="176">
        <f t="shared" si="5"/>
        <v>0</v>
      </c>
      <c r="N32" s="176">
        <f t="shared" si="6"/>
        <v>0</v>
      </c>
      <c r="O32" s="176">
        <f t="shared" si="7"/>
        <v>0</v>
      </c>
      <c r="P32" s="176">
        <f t="shared" si="8"/>
        <v>0</v>
      </c>
      <c r="Q32" s="176">
        <f t="shared" si="9"/>
        <v>0</v>
      </c>
      <c r="R32" s="176">
        <f t="shared" si="10"/>
        <v>0</v>
      </c>
      <c r="S32" s="176">
        <f t="shared" si="11"/>
        <v>0</v>
      </c>
      <c r="T32" s="177">
        <f t="shared" si="12"/>
        <v>0</v>
      </c>
    </row>
    <row r="33" spans="1:20" ht="19.5" customHeight="1" x14ac:dyDescent="0.2">
      <c r="A33" s="178">
        <f t="shared" si="0"/>
        <v>0</v>
      </c>
      <c r="B33" s="179" t="str">
        <f t="shared" si="0"/>
        <v>EK-005</v>
      </c>
      <c r="C33" s="180" t="str">
        <f t="shared" si="0"/>
        <v>3-Fazlı Dekantör</v>
      </c>
      <c r="D33" s="180" t="str">
        <f t="shared" si="0"/>
        <v>Proses</v>
      </c>
      <c r="E33" s="179" t="str">
        <f t="shared" si="0"/>
        <v>Separasyon</v>
      </c>
      <c r="F33" s="181">
        <f t="shared" si="0"/>
        <v>2</v>
      </c>
      <c r="G33" s="182">
        <f t="shared" si="0"/>
        <v>1.5</v>
      </c>
      <c r="H33" s="181">
        <f t="shared" si="0"/>
        <v>15</v>
      </c>
      <c r="I33" s="182">
        <f t="shared" si="1"/>
        <v>0</v>
      </c>
      <c r="J33" s="182">
        <f t="shared" si="2"/>
        <v>0</v>
      </c>
      <c r="K33" s="182">
        <f t="shared" si="3"/>
        <v>0</v>
      </c>
      <c r="L33" s="182">
        <f t="shared" si="4"/>
        <v>0</v>
      </c>
      <c r="M33" s="182">
        <f t="shared" si="5"/>
        <v>0</v>
      </c>
      <c r="N33" s="182">
        <f t="shared" si="6"/>
        <v>0</v>
      </c>
      <c r="O33" s="182">
        <f t="shared" si="7"/>
        <v>0</v>
      </c>
      <c r="P33" s="182">
        <f t="shared" si="8"/>
        <v>0</v>
      </c>
      <c r="Q33" s="182">
        <f t="shared" si="9"/>
        <v>0</v>
      </c>
      <c r="R33" s="182">
        <f t="shared" si="10"/>
        <v>0</v>
      </c>
      <c r="S33" s="182">
        <f t="shared" si="11"/>
        <v>0</v>
      </c>
      <c r="T33" s="183">
        <f t="shared" si="12"/>
        <v>0</v>
      </c>
    </row>
    <row r="34" spans="1:20" ht="19.5" customHeight="1" x14ac:dyDescent="0.2">
      <c r="A34" s="172">
        <f t="shared" si="0"/>
        <v>0</v>
      </c>
      <c r="B34" s="173" t="str">
        <f t="shared" si="0"/>
        <v>EK-006</v>
      </c>
      <c r="C34" s="174" t="str">
        <f t="shared" si="0"/>
        <v>Üzüm Yıkama Hattı</v>
      </c>
      <c r="D34" s="174" t="str">
        <f t="shared" si="0"/>
        <v>Proses</v>
      </c>
      <c r="E34" s="173" t="str">
        <f t="shared" si="0"/>
        <v>Yıkama</v>
      </c>
      <c r="F34" s="175">
        <f t="shared" si="0"/>
        <v>1</v>
      </c>
      <c r="G34" s="176">
        <f t="shared" si="0"/>
        <v>4</v>
      </c>
      <c r="H34" s="175">
        <f t="shared" si="0"/>
        <v>15</v>
      </c>
      <c r="I34" s="176">
        <f t="shared" si="1"/>
        <v>0</v>
      </c>
      <c r="J34" s="176">
        <f t="shared" si="2"/>
        <v>0</v>
      </c>
      <c r="K34" s="176">
        <f t="shared" si="3"/>
        <v>0</v>
      </c>
      <c r="L34" s="176">
        <f t="shared" si="4"/>
        <v>0</v>
      </c>
      <c r="M34" s="176">
        <f t="shared" si="5"/>
        <v>0</v>
      </c>
      <c r="N34" s="176">
        <f t="shared" si="6"/>
        <v>0</v>
      </c>
      <c r="O34" s="176">
        <f t="shared" si="7"/>
        <v>0</v>
      </c>
      <c r="P34" s="176">
        <f t="shared" si="8"/>
        <v>0</v>
      </c>
      <c r="Q34" s="176">
        <f t="shared" si="9"/>
        <v>0</v>
      </c>
      <c r="R34" s="176">
        <f t="shared" si="10"/>
        <v>0</v>
      </c>
      <c r="S34" s="176">
        <f t="shared" si="11"/>
        <v>0</v>
      </c>
      <c r="T34" s="177">
        <f t="shared" si="12"/>
        <v>0</v>
      </c>
    </row>
    <row r="35" spans="1:20" ht="19.5" customHeight="1" x14ac:dyDescent="0.2">
      <c r="A35" s="178">
        <f t="shared" si="0"/>
        <v>0</v>
      </c>
      <c r="B35" s="179" t="str">
        <f t="shared" si="0"/>
        <v>EK-007</v>
      </c>
      <c r="C35" s="180" t="str">
        <f t="shared" si="0"/>
        <v>Fermantasyon CIP</v>
      </c>
      <c r="D35" s="180" t="str">
        <f t="shared" si="0"/>
        <v>Proses</v>
      </c>
      <c r="E35" s="179" t="str">
        <f t="shared" si="0"/>
        <v>CIP</v>
      </c>
      <c r="F35" s="181">
        <f t="shared" si="0"/>
        <v>3</v>
      </c>
      <c r="G35" s="182">
        <f t="shared" si="0"/>
        <v>0.8</v>
      </c>
      <c r="H35" s="181">
        <f t="shared" si="0"/>
        <v>15</v>
      </c>
      <c r="I35" s="182">
        <f t="shared" si="1"/>
        <v>0</v>
      </c>
      <c r="J35" s="182">
        <f t="shared" si="2"/>
        <v>0</v>
      </c>
      <c r="K35" s="182">
        <f t="shared" si="3"/>
        <v>0</v>
      </c>
      <c r="L35" s="182">
        <f t="shared" si="4"/>
        <v>0</v>
      </c>
      <c r="M35" s="182">
        <f t="shared" si="5"/>
        <v>0</v>
      </c>
      <c r="N35" s="182">
        <f t="shared" si="6"/>
        <v>0</v>
      </c>
      <c r="O35" s="182">
        <f t="shared" si="7"/>
        <v>0</v>
      </c>
      <c r="P35" s="182">
        <f t="shared" si="8"/>
        <v>0</v>
      </c>
      <c r="Q35" s="182">
        <f t="shared" si="9"/>
        <v>0</v>
      </c>
      <c r="R35" s="182">
        <f t="shared" si="10"/>
        <v>0</v>
      </c>
      <c r="S35" s="182">
        <f t="shared" si="11"/>
        <v>0</v>
      </c>
      <c r="T35" s="183">
        <f t="shared" si="12"/>
        <v>0</v>
      </c>
    </row>
    <row r="36" spans="1:20" ht="19.5" customHeight="1" x14ac:dyDescent="0.2">
      <c r="A36" s="172">
        <f t="shared" si="0"/>
        <v>0</v>
      </c>
      <c r="B36" s="173" t="str">
        <f t="shared" si="0"/>
        <v>EK-008</v>
      </c>
      <c r="C36" s="174" t="str">
        <f t="shared" si="0"/>
        <v>Sirke Üretim Ünitesi</v>
      </c>
      <c r="D36" s="174" t="str">
        <f t="shared" si="0"/>
        <v>Proses</v>
      </c>
      <c r="E36" s="173" t="str">
        <f t="shared" si="0"/>
        <v>Fermant.</v>
      </c>
      <c r="F36" s="175">
        <f t="shared" si="0"/>
        <v>4</v>
      </c>
      <c r="G36" s="176">
        <f t="shared" si="0"/>
        <v>0.5</v>
      </c>
      <c r="H36" s="175">
        <f t="shared" si="0"/>
        <v>20</v>
      </c>
      <c r="I36" s="176">
        <f t="shared" si="1"/>
        <v>0</v>
      </c>
      <c r="J36" s="176">
        <f t="shared" si="2"/>
        <v>0</v>
      </c>
      <c r="K36" s="176">
        <f t="shared" si="3"/>
        <v>0</v>
      </c>
      <c r="L36" s="176">
        <f t="shared" si="4"/>
        <v>0</v>
      </c>
      <c r="M36" s="176">
        <f t="shared" si="5"/>
        <v>0</v>
      </c>
      <c r="N36" s="176">
        <f t="shared" si="6"/>
        <v>0</v>
      </c>
      <c r="O36" s="176">
        <f t="shared" si="7"/>
        <v>0</v>
      </c>
      <c r="P36" s="176">
        <f t="shared" si="8"/>
        <v>0</v>
      </c>
      <c r="Q36" s="176">
        <f t="shared" si="9"/>
        <v>0</v>
      </c>
      <c r="R36" s="176">
        <f t="shared" si="10"/>
        <v>0</v>
      </c>
      <c r="S36" s="176">
        <f t="shared" si="11"/>
        <v>0</v>
      </c>
      <c r="T36" s="177">
        <f t="shared" si="12"/>
        <v>0</v>
      </c>
    </row>
    <row r="37" spans="1:20" ht="19.5" customHeight="1" x14ac:dyDescent="0.2">
      <c r="A37" s="178">
        <f t="shared" si="0"/>
        <v>0</v>
      </c>
      <c r="B37" s="179" t="str">
        <f t="shared" si="0"/>
        <v>EK-009</v>
      </c>
      <c r="C37" s="180" t="str">
        <f t="shared" si="0"/>
        <v>Buhar Kazanı (4 ton/h)</v>
      </c>
      <c r="D37" s="180" t="str">
        <f t="shared" si="0"/>
        <v>Yardımcı</v>
      </c>
      <c r="E37" s="179" t="str">
        <f t="shared" si="0"/>
        <v>Buhar</v>
      </c>
      <c r="F37" s="181">
        <f t="shared" si="0"/>
        <v>1</v>
      </c>
      <c r="G37" s="182">
        <f t="shared" si="0"/>
        <v>1.5</v>
      </c>
      <c r="H37" s="181">
        <f t="shared" si="0"/>
        <v>10</v>
      </c>
      <c r="I37" s="182">
        <f t="shared" si="1"/>
        <v>0</v>
      </c>
      <c r="J37" s="182">
        <f t="shared" si="2"/>
        <v>0</v>
      </c>
      <c r="K37" s="182">
        <f t="shared" si="3"/>
        <v>0</v>
      </c>
      <c r="L37" s="182">
        <f t="shared" si="4"/>
        <v>0</v>
      </c>
      <c r="M37" s="182">
        <f t="shared" si="5"/>
        <v>0</v>
      </c>
      <c r="N37" s="182">
        <f t="shared" si="6"/>
        <v>0</v>
      </c>
      <c r="O37" s="182">
        <f t="shared" si="7"/>
        <v>0</v>
      </c>
      <c r="P37" s="182">
        <f t="shared" si="8"/>
        <v>0</v>
      </c>
      <c r="Q37" s="182">
        <f t="shared" si="9"/>
        <v>0</v>
      </c>
      <c r="R37" s="182">
        <f t="shared" si="10"/>
        <v>0</v>
      </c>
      <c r="S37" s="182">
        <f t="shared" si="11"/>
        <v>0</v>
      </c>
      <c r="T37" s="183">
        <f t="shared" si="12"/>
        <v>0</v>
      </c>
    </row>
    <row r="38" spans="1:20" ht="19.5" customHeight="1" x14ac:dyDescent="0.2">
      <c r="A38" s="172">
        <f t="shared" si="0"/>
        <v>0</v>
      </c>
      <c r="B38" s="173" t="str">
        <f t="shared" si="0"/>
        <v>EK-010</v>
      </c>
      <c r="C38" s="174" t="str">
        <f t="shared" si="0"/>
        <v>Soğutma Kulesi</v>
      </c>
      <c r="D38" s="174" t="str">
        <f t="shared" si="0"/>
        <v>Yardımcı</v>
      </c>
      <c r="E38" s="173" t="str">
        <f t="shared" si="0"/>
        <v>Soğutma</v>
      </c>
      <c r="F38" s="175">
        <f t="shared" si="0"/>
        <v>1</v>
      </c>
      <c r="G38" s="176">
        <f t="shared" si="0"/>
        <v>1.2</v>
      </c>
      <c r="H38" s="175">
        <f t="shared" si="0"/>
        <v>15</v>
      </c>
      <c r="I38" s="176">
        <f t="shared" si="1"/>
        <v>0</v>
      </c>
      <c r="J38" s="176">
        <f t="shared" si="2"/>
        <v>0</v>
      </c>
      <c r="K38" s="176">
        <f t="shared" si="3"/>
        <v>0</v>
      </c>
      <c r="L38" s="176">
        <f t="shared" si="4"/>
        <v>0</v>
      </c>
      <c r="M38" s="176">
        <f t="shared" si="5"/>
        <v>0</v>
      </c>
      <c r="N38" s="176">
        <f t="shared" si="6"/>
        <v>0</v>
      </c>
      <c r="O38" s="176">
        <f t="shared" si="7"/>
        <v>0</v>
      </c>
      <c r="P38" s="176">
        <f t="shared" si="8"/>
        <v>0</v>
      </c>
      <c r="Q38" s="176">
        <f t="shared" si="9"/>
        <v>0</v>
      </c>
      <c r="R38" s="176">
        <f t="shared" si="10"/>
        <v>0</v>
      </c>
      <c r="S38" s="176">
        <f t="shared" si="11"/>
        <v>0</v>
      </c>
      <c r="T38" s="177">
        <f t="shared" si="12"/>
        <v>0</v>
      </c>
    </row>
    <row r="39" spans="1:20" ht="19.5" customHeight="1" x14ac:dyDescent="0.2">
      <c r="A39" s="178">
        <f t="shared" ref="A39:H48" si="13">A16</f>
        <v>0</v>
      </c>
      <c r="B39" s="179" t="str">
        <f t="shared" si="13"/>
        <v>EK-011</v>
      </c>
      <c r="C39" s="180" t="str">
        <f t="shared" si="13"/>
        <v>CIP Merkezi Sistem</v>
      </c>
      <c r="D39" s="180" t="str">
        <f t="shared" si="13"/>
        <v>Yardımcı</v>
      </c>
      <c r="E39" s="179" t="str">
        <f t="shared" si="13"/>
        <v>CIP</v>
      </c>
      <c r="F39" s="181">
        <f t="shared" si="13"/>
        <v>2</v>
      </c>
      <c r="G39" s="182">
        <f t="shared" si="13"/>
        <v>1.8</v>
      </c>
      <c r="H39" s="181">
        <f t="shared" si="13"/>
        <v>15</v>
      </c>
      <c r="I39" s="182">
        <f t="shared" si="1"/>
        <v>0</v>
      </c>
      <c r="J39" s="182">
        <f t="shared" si="2"/>
        <v>0</v>
      </c>
      <c r="K39" s="182">
        <f t="shared" si="3"/>
        <v>0</v>
      </c>
      <c r="L39" s="182">
        <f t="shared" si="4"/>
        <v>0</v>
      </c>
      <c r="M39" s="182">
        <f t="shared" si="5"/>
        <v>0</v>
      </c>
      <c r="N39" s="182">
        <f t="shared" si="6"/>
        <v>0</v>
      </c>
      <c r="O39" s="182">
        <f t="shared" si="7"/>
        <v>0</v>
      </c>
      <c r="P39" s="182">
        <f t="shared" si="8"/>
        <v>0</v>
      </c>
      <c r="Q39" s="182">
        <f t="shared" si="9"/>
        <v>0</v>
      </c>
      <c r="R39" s="182">
        <f t="shared" si="10"/>
        <v>0</v>
      </c>
      <c r="S39" s="182">
        <f t="shared" si="11"/>
        <v>0</v>
      </c>
      <c r="T39" s="183">
        <f t="shared" si="12"/>
        <v>0</v>
      </c>
    </row>
    <row r="40" spans="1:20" ht="19.5" customHeight="1" x14ac:dyDescent="0.2">
      <c r="A40" s="172">
        <f t="shared" si="13"/>
        <v>0</v>
      </c>
      <c r="B40" s="173" t="str">
        <f t="shared" si="13"/>
        <v>EK-012</v>
      </c>
      <c r="C40" s="174" t="str">
        <f t="shared" si="13"/>
        <v>Su Yumuşatma Ünitesi</v>
      </c>
      <c r="D40" s="174" t="str">
        <f t="shared" si="13"/>
        <v>Yardımcı</v>
      </c>
      <c r="E40" s="173" t="str">
        <f t="shared" si="13"/>
        <v>Arıtma</v>
      </c>
      <c r="F40" s="175">
        <f t="shared" si="13"/>
        <v>1</v>
      </c>
      <c r="G40" s="176">
        <f t="shared" si="13"/>
        <v>0.8</v>
      </c>
      <c r="H40" s="175">
        <f t="shared" si="13"/>
        <v>10</v>
      </c>
      <c r="I40" s="176">
        <f t="shared" si="1"/>
        <v>0</v>
      </c>
      <c r="J40" s="176">
        <f t="shared" si="2"/>
        <v>0</v>
      </c>
      <c r="K40" s="176">
        <f t="shared" si="3"/>
        <v>0</v>
      </c>
      <c r="L40" s="176">
        <f t="shared" si="4"/>
        <v>0</v>
      </c>
      <c r="M40" s="176">
        <f t="shared" si="5"/>
        <v>0</v>
      </c>
      <c r="N40" s="176">
        <f t="shared" si="6"/>
        <v>0</v>
      </c>
      <c r="O40" s="176">
        <f t="shared" si="7"/>
        <v>0</v>
      </c>
      <c r="P40" s="176">
        <f t="shared" si="8"/>
        <v>0</v>
      </c>
      <c r="Q40" s="176">
        <f t="shared" si="9"/>
        <v>0</v>
      </c>
      <c r="R40" s="176">
        <f t="shared" si="10"/>
        <v>0</v>
      </c>
      <c r="S40" s="176">
        <f t="shared" si="11"/>
        <v>0</v>
      </c>
      <c r="T40" s="177">
        <f t="shared" si="12"/>
        <v>0</v>
      </c>
    </row>
    <row r="41" spans="1:20" ht="19.5" customHeight="1" x14ac:dyDescent="0.2">
      <c r="A41" s="178">
        <f t="shared" si="13"/>
        <v>0</v>
      </c>
      <c r="B41" s="179" t="str">
        <f t="shared" si="13"/>
        <v>EK-013</v>
      </c>
      <c r="C41" s="180" t="str">
        <f t="shared" si="13"/>
        <v>Basınçlı Yıkama Makinesi</v>
      </c>
      <c r="D41" s="180" t="str">
        <f t="shared" si="13"/>
        <v>Yardımcı</v>
      </c>
      <c r="E41" s="179" t="str">
        <f t="shared" si="13"/>
        <v>Temizlik</v>
      </c>
      <c r="F41" s="181">
        <f t="shared" si="13"/>
        <v>3</v>
      </c>
      <c r="G41" s="182">
        <f t="shared" si="13"/>
        <v>0.8</v>
      </c>
      <c r="H41" s="181">
        <f t="shared" si="13"/>
        <v>20</v>
      </c>
      <c r="I41" s="182">
        <f t="shared" si="1"/>
        <v>0</v>
      </c>
      <c r="J41" s="182">
        <f t="shared" si="2"/>
        <v>0</v>
      </c>
      <c r="K41" s="182">
        <f t="shared" si="3"/>
        <v>0</v>
      </c>
      <c r="L41" s="182">
        <f t="shared" si="4"/>
        <v>0</v>
      </c>
      <c r="M41" s="182">
        <f t="shared" si="5"/>
        <v>0</v>
      </c>
      <c r="N41" s="182">
        <f t="shared" si="6"/>
        <v>0</v>
      </c>
      <c r="O41" s="182">
        <f t="shared" si="7"/>
        <v>0</v>
      </c>
      <c r="P41" s="182">
        <f t="shared" si="8"/>
        <v>0</v>
      </c>
      <c r="Q41" s="182">
        <f t="shared" si="9"/>
        <v>0</v>
      </c>
      <c r="R41" s="182">
        <f t="shared" si="10"/>
        <v>0</v>
      </c>
      <c r="S41" s="182">
        <f t="shared" si="11"/>
        <v>0</v>
      </c>
      <c r="T41" s="183">
        <f t="shared" si="12"/>
        <v>0</v>
      </c>
    </row>
    <row r="42" spans="1:20" ht="19.5" customHeight="1" x14ac:dyDescent="0.2">
      <c r="A42" s="172">
        <f t="shared" si="13"/>
        <v>0</v>
      </c>
      <c r="B42" s="173" t="str">
        <f t="shared" si="13"/>
        <v>EK-014</v>
      </c>
      <c r="C42" s="174" t="str">
        <f t="shared" si="13"/>
        <v>Evsel Tesisat</v>
      </c>
      <c r="D42" s="174" t="str">
        <f t="shared" si="13"/>
        <v>Sanitasyon</v>
      </c>
      <c r="E42" s="173" t="str">
        <f t="shared" si="13"/>
        <v>Tesisat</v>
      </c>
      <c r="F42" s="175">
        <f t="shared" si="13"/>
        <v>1</v>
      </c>
      <c r="G42" s="176">
        <f t="shared" si="13"/>
        <v>1</v>
      </c>
      <c r="H42" s="175">
        <f t="shared" si="13"/>
        <v>20</v>
      </c>
      <c r="I42" s="176">
        <f t="shared" si="1"/>
        <v>0</v>
      </c>
      <c r="J42" s="176">
        <f t="shared" si="2"/>
        <v>0</v>
      </c>
      <c r="K42" s="176">
        <f t="shared" si="3"/>
        <v>0</v>
      </c>
      <c r="L42" s="176">
        <f t="shared" si="4"/>
        <v>0</v>
      </c>
      <c r="M42" s="176">
        <f t="shared" si="5"/>
        <v>0</v>
      </c>
      <c r="N42" s="176">
        <f t="shared" si="6"/>
        <v>0</v>
      </c>
      <c r="O42" s="176">
        <f t="shared" si="7"/>
        <v>0</v>
      </c>
      <c r="P42" s="176">
        <f t="shared" si="8"/>
        <v>0</v>
      </c>
      <c r="Q42" s="176">
        <f t="shared" si="9"/>
        <v>0</v>
      </c>
      <c r="R42" s="176">
        <f t="shared" si="10"/>
        <v>0</v>
      </c>
      <c r="S42" s="176">
        <f t="shared" si="11"/>
        <v>0</v>
      </c>
      <c r="T42" s="177">
        <f t="shared" si="12"/>
        <v>0</v>
      </c>
    </row>
    <row r="43" spans="1:20" ht="19.5" customHeight="1" x14ac:dyDescent="0.2">
      <c r="A43" s="178">
        <f t="shared" si="13"/>
        <v>0</v>
      </c>
      <c r="B43" s="179" t="str">
        <f t="shared" si="13"/>
        <v>EK-015</v>
      </c>
      <c r="C43" s="180" t="str">
        <f t="shared" si="13"/>
        <v>AAT Servis + Yangın</v>
      </c>
      <c r="D43" s="180" t="str">
        <f t="shared" si="13"/>
        <v>Diğer</v>
      </c>
      <c r="E43" s="179" t="str">
        <f t="shared" si="13"/>
        <v>Servis</v>
      </c>
      <c r="F43" s="181">
        <f t="shared" si="13"/>
        <v>1</v>
      </c>
      <c r="G43" s="182">
        <f t="shared" si="13"/>
        <v>0.8</v>
      </c>
      <c r="H43" s="181">
        <f t="shared" si="13"/>
        <v>25</v>
      </c>
      <c r="I43" s="182">
        <f t="shared" si="1"/>
        <v>64</v>
      </c>
      <c r="J43" s="182">
        <f t="shared" si="2"/>
        <v>64</v>
      </c>
      <c r="K43" s="182">
        <f t="shared" si="3"/>
        <v>64</v>
      </c>
      <c r="L43" s="182">
        <f t="shared" si="4"/>
        <v>64</v>
      </c>
      <c r="M43" s="182">
        <f t="shared" si="5"/>
        <v>64</v>
      </c>
      <c r="N43" s="182">
        <f t="shared" si="6"/>
        <v>64</v>
      </c>
      <c r="O43" s="182">
        <f t="shared" si="7"/>
        <v>64</v>
      </c>
      <c r="P43" s="182">
        <f t="shared" si="8"/>
        <v>64</v>
      </c>
      <c r="Q43" s="182">
        <f t="shared" si="9"/>
        <v>64</v>
      </c>
      <c r="R43" s="182">
        <f t="shared" si="10"/>
        <v>64</v>
      </c>
      <c r="S43" s="182">
        <f t="shared" si="11"/>
        <v>64</v>
      </c>
      <c r="T43" s="183">
        <f t="shared" si="12"/>
        <v>64</v>
      </c>
    </row>
    <row r="44" spans="1:20" ht="19.5" customHeight="1" x14ac:dyDescent="0.2">
      <c r="A44" s="172">
        <f t="shared" si="13"/>
        <v>0</v>
      </c>
      <c r="B44" s="173" t="str">
        <f t="shared" si="13"/>
        <v>EK-016</v>
      </c>
      <c r="C44" s="174" t="str">
        <f t="shared" si="13"/>
        <v>Yemekhane Bulaşık Mak.</v>
      </c>
      <c r="D44" s="174" t="str">
        <f t="shared" si="13"/>
        <v>Sanitasyon</v>
      </c>
      <c r="E44" s="173" t="str">
        <f t="shared" si="13"/>
        <v>Yıkama</v>
      </c>
      <c r="F44" s="175">
        <f t="shared" si="13"/>
        <v>2</v>
      </c>
      <c r="G44" s="176">
        <f t="shared" si="13"/>
        <v>0.3</v>
      </c>
      <c r="H44" s="175">
        <f t="shared" si="13"/>
        <v>20</v>
      </c>
      <c r="I44" s="176">
        <f t="shared" si="1"/>
        <v>60</v>
      </c>
      <c r="J44" s="176">
        <f t="shared" si="2"/>
        <v>60</v>
      </c>
      <c r="K44" s="176">
        <f t="shared" si="3"/>
        <v>60</v>
      </c>
      <c r="L44" s="176">
        <f t="shared" si="4"/>
        <v>60</v>
      </c>
      <c r="M44" s="176">
        <f t="shared" si="5"/>
        <v>60</v>
      </c>
      <c r="N44" s="176">
        <f t="shared" si="6"/>
        <v>60</v>
      </c>
      <c r="O44" s="176">
        <f t="shared" si="7"/>
        <v>60</v>
      </c>
      <c r="P44" s="176">
        <f t="shared" si="8"/>
        <v>60</v>
      </c>
      <c r="Q44" s="176">
        <f t="shared" si="9"/>
        <v>60</v>
      </c>
      <c r="R44" s="176">
        <f t="shared" si="10"/>
        <v>60</v>
      </c>
      <c r="S44" s="176">
        <f t="shared" si="11"/>
        <v>60</v>
      </c>
      <c r="T44" s="177">
        <f t="shared" si="12"/>
        <v>60</v>
      </c>
    </row>
    <row r="45" spans="1:20" ht="19.5" customHeight="1" x14ac:dyDescent="0.2">
      <c r="A45" s="178">
        <f t="shared" si="13"/>
        <v>0</v>
      </c>
      <c r="B45" s="179" t="str">
        <f t="shared" si="13"/>
        <v>EK-017</v>
      </c>
      <c r="C45" s="180" t="str">
        <f t="shared" si="13"/>
        <v>Geri Kazanım Hattı</v>
      </c>
      <c r="D45" s="180" t="str">
        <f t="shared" si="13"/>
        <v>Geri Kaz.</v>
      </c>
      <c r="E45" s="179" t="str">
        <f t="shared" si="13"/>
        <v>Debimetre</v>
      </c>
      <c r="F45" s="181">
        <f t="shared" si="13"/>
        <v>1</v>
      </c>
      <c r="G45" s="182">
        <f t="shared" si="13"/>
        <v>0.5</v>
      </c>
      <c r="H45" s="181">
        <f t="shared" si="13"/>
        <v>10</v>
      </c>
      <c r="I45" s="182">
        <f t="shared" si="1"/>
        <v>100</v>
      </c>
      <c r="J45" s="182">
        <f t="shared" si="2"/>
        <v>88</v>
      </c>
      <c r="K45" s="182">
        <f t="shared" si="3"/>
        <v>112</v>
      </c>
      <c r="L45" s="182">
        <f t="shared" si="4"/>
        <v>120</v>
      </c>
      <c r="M45" s="182">
        <f t="shared" si="5"/>
        <v>132</v>
      </c>
      <c r="N45" s="182">
        <f t="shared" si="6"/>
        <v>148</v>
      </c>
      <c r="O45" s="182">
        <f t="shared" si="7"/>
        <v>160</v>
      </c>
      <c r="P45" s="182">
        <f t="shared" si="8"/>
        <v>160</v>
      </c>
      <c r="Q45" s="182">
        <f t="shared" si="9"/>
        <v>140</v>
      </c>
      <c r="R45" s="182">
        <f t="shared" si="10"/>
        <v>128</v>
      </c>
      <c r="S45" s="182">
        <f t="shared" si="11"/>
        <v>112</v>
      </c>
      <c r="T45" s="183">
        <f t="shared" si="12"/>
        <v>100</v>
      </c>
    </row>
    <row r="46" spans="1:20" ht="19.5" customHeight="1" x14ac:dyDescent="0.2">
      <c r="A46" s="172">
        <f t="shared" si="13"/>
        <v>0</v>
      </c>
      <c r="B46" s="173" t="str">
        <f t="shared" si="13"/>
        <v>EK-018</v>
      </c>
      <c r="C46" s="174">
        <f t="shared" si="13"/>
        <v>0</v>
      </c>
      <c r="D46" s="174">
        <f t="shared" si="13"/>
        <v>0</v>
      </c>
      <c r="E46" s="173">
        <f t="shared" si="13"/>
        <v>0</v>
      </c>
      <c r="F46" s="175">
        <f t="shared" si="13"/>
        <v>0</v>
      </c>
      <c r="G46" s="176">
        <f t="shared" si="13"/>
        <v>0</v>
      </c>
      <c r="H46" s="175">
        <f t="shared" si="13"/>
        <v>0</v>
      </c>
      <c r="I46" s="176">
        <f t="shared" si="1"/>
        <v>0</v>
      </c>
      <c r="J46" s="176">
        <f t="shared" si="2"/>
        <v>0</v>
      </c>
      <c r="K46" s="176">
        <f t="shared" si="3"/>
        <v>0</v>
      </c>
      <c r="L46" s="176">
        <f t="shared" si="4"/>
        <v>0</v>
      </c>
      <c r="M46" s="176">
        <f t="shared" si="5"/>
        <v>0</v>
      </c>
      <c r="N46" s="176">
        <f t="shared" si="6"/>
        <v>0</v>
      </c>
      <c r="O46" s="176">
        <f t="shared" si="7"/>
        <v>0</v>
      </c>
      <c r="P46" s="176">
        <f t="shared" si="8"/>
        <v>0</v>
      </c>
      <c r="Q46" s="176">
        <f t="shared" si="9"/>
        <v>0</v>
      </c>
      <c r="R46" s="176">
        <f t="shared" si="10"/>
        <v>0</v>
      </c>
      <c r="S46" s="176">
        <f t="shared" si="11"/>
        <v>0</v>
      </c>
      <c r="T46" s="177">
        <f t="shared" si="12"/>
        <v>0</v>
      </c>
    </row>
    <row r="47" spans="1:20" ht="19.5" customHeight="1" x14ac:dyDescent="0.2">
      <c r="A47" s="178">
        <f t="shared" si="13"/>
        <v>0</v>
      </c>
      <c r="B47" s="179" t="str">
        <f t="shared" si="13"/>
        <v>EK-019</v>
      </c>
      <c r="C47" s="180">
        <f t="shared" si="13"/>
        <v>0</v>
      </c>
      <c r="D47" s="180">
        <f t="shared" si="13"/>
        <v>0</v>
      </c>
      <c r="E47" s="179">
        <f t="shared" si="13"/>
        <v>0</v>
      </c>
      <c r="F47" s="181">
        <f t="shared" si="13"/>
        <v>0</v>
      </c>
      <c r="G47" s="182">
        <f t="shared" si="13"/>
        <v>0</v>
      </c>
      <c r="H47" s="181">
        <f t="shared" si="13"/>
        <v>0</v>
      </c>
      <c r="I47" s="182">
        <f t="shared" si="1"/>
        <v>0</v>
      </c>
      <c r="J47" s="182">
        <f t="shared" si="2"/>
        <v>0</v>
      </c>
      <c r="K47" s="182">
        <f t="shared" si="3"/>
        <v>0</v>
      </c>
      <c r="L47" s="182">
        <f t="shared" si="4"/>
        <v>0</v>
      </c>
      <c r="M47" s="182">
        <f t="shared" si="5"/>
        <v>0</v>
      </c>
      <c r="N47" s="182">
        <f t="shared" si="6"/>
        <v>0</v>
      </c>
      <c r="O47" s="182">
        <f t="shared" si="7"/>
        <v>0</v>
      </c>
      <c r="P47" s="182">
        <f t="shared" si="8"/>
        <v>0</v>
      </c>
      <c r="Q47" s="182">
        <f t="shared" si="9"/>
        <v>0</v>
      </c>
      <c r="R47" s="182">
        <f t="shared" si="10"/>
        <v>0</v>
      </c>
      <c r="S47" s="182">
        <f t="shared" si="11"/>
        <v>0</v>
      </c>
      <c r="T47" s="183">
        <f t="shared" si="12"/>
        <v>0</v>
      </c>
    </row>
    <row r="48" spans="1:20" ht="19.5" customHeight="1" x14ac:dyDescent="0.2">
      <c r="A48" s="184">
        <f t="shared" si="13"/>
        <v>0</v>
      </c>
      <c r="B48" s="185" t="str">
        <f t="shared" si="13"/>
        <v>EK-020</v>
      </c>
      <c r="C48" s="186">
        <f t="shared" si="13"/>
        <v>0</v>
      </c>
      <c r="D48" s="186">
        <f t="shared" si="13"/>
        <v>0</v>
      </c>
      <c r="E48" s="185">
        <f t="shared" si="13"/>
        <v>0</v>
      </c>
      <c r="F48" s="187">
        <f t="shared" si="13"/>
        <v>0</v>
      </c>
      <c r="G48" s="188">
        <f t="shared" si="13"/>
        <v>0</v>
      </c>
      <c r="H48" s="187">
        <f t="shared" si="13"/>
        <v>0</v>
      </c>
      <c r="I48" s="188">
        <f t="shared" si="1"/>
        <v>0</v>
      </c>
      <c r="J48" s="188">
        <f t="shared" si="2"/>
        <v>0</v>
      </c>
      <c r="K48" s="188">
        <f t="shared" si="3"/>
        <v>0</v>
      </c>
      <c r="L48" s="188">
        <f t="shared" si="4"/>
        <v>0</v>
      </c>
      <c r="M48" s="188">
        <f t="shared" si="5"/>
        <v>0</v>
      </c>
      <c r="N48" s="188">
        <f t="shared" si="6"/>
        <v>0</v>
      </c>
      <c r="O48" s="188">
        <f t="shared" si="7"/>
        <v>0</v>
      </c>
      <c r="P48" s="188">
        <f t="shared" si="8"/>
        <v>0</v>
      </c>
      <c r="Q48" s="188">
        <f t="shared" si="9"/>
        <v>0</v>
      </c>
      <c r="R48" s="188">
        <f t="shared" si="10"/>
        <v>0</v>
      </c>
      <c r="S48" s="188">
        <f t="shared" si="11"/>
        <v>0</v>
      </c>
      <c r="T48" s="189">
        <f t="shared" si="12"/>
        <v>0</v>
      </c>
    </row>
    <row r="49" spans="1:20" ht="19.5" customHeight="1" x14ac:dyDescent="0.2">
      <c r="A49" s="163"/>
      <c r="B49" s="163"/>
      <c r="C49" s="164" t="s">
        <v>309</v>
      </c>
      <c r="D49" s="163"/>
      <c r="E49" s="163"/>
      <c r="F49" s="163"/>
      <c r="G49" s="163"/>
      <c r="H49" s="163"/>
      <c r="I49" s="165">
        <f t="shared" ref="I49:T49" si="14">IFERROR(SUM(I29:I48),0)</f>
        <v>284</v>
      </c>
      <c r="J49" s="165">
        <f t="shared" si="14"/>
        <v>272</v>
      </c>
      <c r="K49" s="165">
        <f t="shared" si="14"/>
        <v>338</v>
      </c>
      <c r="L49" s="165">
        <f t="shared" si="14"/>
        <v>388</v>
      </c>
      <c r="M49" s="165">
        <f t="shared" si="14"/>
        <v>484</v>
      </c>
      <c r="N49" s="165">
        <f t="shared" si="14"/>
        <v>608</v>
      </c>
      <c r="O49" s="165">
        <f t="shared" si="14"/>
        <v>704</v>
      </c>
      <c r="P49" s="165">
        <f t="shared" si="14"/>
        <v>704</v>
      </c>
      <c r="Q49" s="165">
        <f t="shared" si="14"/>
        <v>576</v>
      </c>
      <c r="R49" s="165">
        <f t="shared" si="14"/>
        <v>420</v>
      </c>
      <c r="S49" s="165">
        <f t="shared" si="14"/>
        <v>332</v>
      </c>
      <c r="T49" s="165">
        <f t="shared" si="14"/>
        <v>284</v>
      </c>
    </row>
  </sheetData>
  <dataValidations count="1">
    <dataValidation type="list" sqref="E6:E25" xr:uid="{00000000-0002-0000-0300-000000000000}">
      <formula1>"UHP Pompası,Soğutma Kulesi,Yıkama Sistemi,Sprinkler/Sulama,Nemlendirici,Proses Pompası,Soğutma Kompresörü,Kazan,Diğer"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56"/>
  <sheetViews>
    <sheetView showGridLines="0"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C19" sqref="C19:E19"/>
    </sheetView>
  </sheetViews>
  <sheetFormatPr baseColWidth="10" defaultColWidth="8.6640625" defaultRowHeight="15" x14ac:dyDescent="0.2"/>
  <cols>
    <col min="1" max="1" width="5" customWidth="1"/>
    <col min="2" max="2" width="30" customWidth="1"/>
    <col min="3" max="3" width="12" customWidth="1"/>
    <col min="4" max="14" width="10" customWidth="1"/>
    <col min="15" max="15" width="14" customWidth="1"/>
    <col min="16" max="16" width="18" customWidth="1"/>
  </cols>
  <sheetData>
    <row r="1" spans="1:16" ht="27.75" customHeight="1" thickBot="1" x14ac:dyDescent="0.25">
      <c r="A1" s="59" t="s">
        <v>310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</row>
    <row r="2" spans="1:16" ht="13.5" customHeight="1" x14ac:dyDescent="0.2">
      <c r="A2" s="61" t="s">
        <v>311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</row>
    <row r="3" spans="1:16" ht="7.5" customHeight="1" x14ac:dyDescent="0.2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</row>
    <row r="4" spans="1:16" ht="15.75" customHeight="1" x14ac:dyDescent="0.2">
      <c r="A4" s="31" t="s">
        <v>312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</row>
    <row r="5" spans="1:16" ht="48" customHeight="1" x14ac:dyDescent="0.2">
      <c r="A5" s="203"/>
      <c r="B5" s="217" t="s">
        <v>313</v>
      </c>
      <c r="C5" s="218"/>
      <c r="D5" s="218"/>
      <c r="E5" s="203"/>
      <c r="F5" s="203"/>
      <c r="G5" s="203"/>
      <c r="H5" s="203"/>
      <c r="I5" s="203"/>
      <c r="J5" s="203"/>
      <c r="K5" s="203"/>
      <c r="L5" s="203"/>
      <c r="M5" s="203"/>
      <c r="N5" s="203"/>
      <c r="O5" s="203"/>
      <c r="P5" s="203"/>
    </row>
    <row r="6" spans="1:16" ht="19.5" customHeight="1" x14ac:dyDescent="0.2">
      <c r="B6" s="219" t="s">
        <v>314</v>
      </c>
      <c r="C6" s="400" t="s">
        <v>315</v>
      </c>
      <c r="D6" s="401"/>
      <c r="E6" s="402"/>
    </row>
    <row r="7" spans="1:16" ht="19.5" customHeight="1" x14ac:dyDescent="0.2">
      <c r="B7" s="220" t="s">
        <v>316</v>
      </c>
      <c r="C7" s="403">
        <v>0</v>
      </c>
      <c r="D7" s="381"/>
      <c r="E7" s="382"/>
    </row>
    <row r="8" spans="1:16" ht="19.5" customHeight="1" x14ac:dyDescent="0.2">
      <c r="B8" s="221" t="s">
        <v>317</v>
      </c>
      <c r="C8" s="396" t="s">
        <v>318</v>
      </c>
      <c r="D8" s="385"/>
      <c r="E8" s="386"/>
    </row>
    <row r="9" spans="1:16" ht="21.75" customHeight="1" x14ac:dyDescent="0.2">
      <c r="B9" s="222" t="s">
        <v>319</v>
      </c>
      <c r="D9" s="223" t="s">
        <v>19</v>
      </c>
      <c r="E9" s="224" t="s">
        <v>20</v>
      </c>
      <c r="F9" s="224" t="s">
        <v>21</v>
      </c>
      <c r="G9" s="224" t="s">
        <v>22</v>
      </c>
      <c r="H9" s="224" t="s">
        <v>23</v>
      </c>
      <c r="I9" s="224" t="s">
        <v>24</v>
      </c>
      <c r="J9" s="224" t="s">
        <v>25</v>
      </c>
      <c r="K9" s="224" t="s">
        <v>26</v>
      </c>
      <c r="L9" s="224" t="s">
        <v>27</v>
      </c>
      <c r="M9" s="224" t="s">
        <v>28</v>
      </c>
      <c r="N9" s="224" t="s">
        <v>29</v>
      </c>
      <c r="O9" s="224" t="s">
        <v>30</v>
      </c>
      <c r="P9" s="225" t="s">
        <v>320</v>
      </c>
    </row>
    <row r="10" spans="1:16" ht="19.5" customHeight="1" x14ac:dyDescent="0.2">
      <c r="B10" s="232" t="s">
        <v>321</v>
      </c>
      <c r="C10" s="226"/>
      <c r="D10" s="227">
        <f>IFERROR('🌤 Meteoroloji'!D22,"")</f>
        <v>1.1874205365788533</v>
      </c>
      <c r="E10" s="227">
        <f>IFERROR('🌤 Meteoroloji'!E22,"")</f>
        <v>1.4025638730469563</v>
      </c>
      <c r="F10" s="227">
        <f>IFERROR('🌤 Meteoroloji'!F22,"")</f>
        <v>1.841645130417793</v>
      </c>
      <c r="G10" s="227">
        <f>IFERROR('🌤 Meteoroloji'!G22,"")</f>
        <v>2.4870053972720654</v>
      </c>
      <c r="H10" s="227">
        <f>IFERROR('🌤 Meteoroloji'!H22,"")</f>
        <v>3.3614398286025637</v>
      </c>
      <c r="I10" s="227">
        <f>IFERROR('🌤 Meteoroloji'!I22,"")</f>
        <v>3.891379531185216</v>
      </c>
      <c r="J10" s="227">
        <f>IFERROR('🌤 Meteoroloji'!J22,"")</f>
        <v>3.8241720180540506</v>
      </c>
      <c r="K10" s="227">
        <f>IFERROR('🌤 Meteoroloji'!K22,"")</f>
        <v>2.9839174771655594</v>
      </c>
      <c r="L10" s="227">
        <f>IFERROR('🌤 Meteoroloji'!L22,"")</f>
        <v>2.1973933238855259</v>
      </c>
      <c r="M10" s="227">
        <f>IFERROR('🌤 Meteoroloji'!M22,"")</f>
        <v>1.5986048594252917</v>
      </c>
      <c r="N10" s="227">
        <f>IFERROR('🌤 Meteoroloji'!N22,"")</f>
        <v>1.2697168912941836</v>
      </c>
      <c r="O10" s="227">
        <f>IFERROR('🌤 Meteoroloji'!O22,"")</f>
        <v>2.2648249706725987</v>
      </c>
      <c r="P10" s="226"/>
    </row>
    <row r="11" spans="1:16" ht="19.5" customHeight="1" x14ac:dyDescent="0.2">
      <c r="B11" s="83" t="s">
        <v>322</v>
      </c>
      <c r="C11" s="228"/>
      <c r="D11" s="75">
        <f>IFERROR('🌤 Meteoroloji'!D23,"")</f>
        <v>0.77182334877625469</v>
      </c>
      <c r="E11" s="75">
        <f>IFERROR('🌤 Meteoroloji'!E23,"")</f>
        <v>0.86958960128911289</v>
      </c>
      <c r="F11" s="75">
        <f>IFERROR('🌤 Meteoroloji'!F23,"")</f>
        <v>1.0681541756423198</v>
      </c>
      <c r="G11" s="75">
        <f>IFERROR('🌤 Meteoroloji'!G23,"")</f>
        <v>1.2932428065814738</v>
      </c>
      <c r="H11" s="75">
        <f>IFERROR('🌤 Meteoroloji'!H23,"")</f>
        <v>1.4118047280130768</v>
      </c>
      <c r="I11" s="75">
        <f>IFERROR('🌤 Meteoroloji'!I23,"")</f>
        <v>1.478724221850382</v>
      </c>
      <c r="J11" s="75">
        <f>IFERROR('🌤 Meteoroloji'!J23,"")</f>
        <v>1.5296688072216202</v>
      </c>
      <c r="K11" s="75">
        <f>IFERROR('🌤 Meteoroloji'!K23,"")</f>
        <v>1.4322803890394686</v>
      </c>
      <c r="L11" s="75">
        <f>IFERROR('🌤 Meteoroloji'!L23,"")</f>
        <v>1.3184359943313155</v>
      </c>
      <c r="M11" s="75">
        <f>IFERROR('🌤 Meteoroloji'!M23,"")</f>
        <v>1.0870513044091985</v>
      </c>
      <c r="N11" s="75">
        <f>IFERROR('🌤 Meteoroloji'!N23,"")</f>
        <v>0.88880182390592855</v>
      </c>
      <c r="O11" s="75">
        <f>IFERROR('🌤 Meteoroloji'!O23,"")</f>
        <v>1.1599810776864565</v>
      </c>
      <c r="P11" s="228"/>
    </row>
    <row r="12" spans="1:16" ht="19.5" customHeight="1" x14ac:dyDescent="0.2">
      <c r="B12" s="53" t="s">
        <v>323</v>
      </c>
      <c r="C12" s="228"/>
      <c r="D12" s="229">
        <f>IFERROR('🌤 Meteoroloji'!D17,"")</f>
        <v>2.8</v>
      </c>
      <c r="E12" s="229">
        <f>IFERROR('🌤 Meteoroloji'!E17,"")</f>
        <v>3</v>
      </c>
      <c r="F12" s="229">
        <f>IFERROR('🌤 Meteoroloji'!F17,"")</f>
        <v>2.8</v>
      </c>
      <c r="G12" s="229">
        <f>IFERROR('🌤 Meteoroloji'!G17,"")</f>
        <v>2.5</v>
      </c>
      <c r="H12" s="229">
        <f>IFERROR('🌤 Meteoroloji'!H17,"")</f>
        <v>3.2</v>
      </c>
      <c r="I12" s="229">
        <f>IFERROR('🌤 Meteoroloji'!I17,"")</f>
        <v>3.5</v>
      </c>
      <c r="J12" s="229">
        <f>IFERROR('🌤 Meteoroloji'!J17,"")</f>
        <v>3.2</v>
      </c>
      <c r="K12" s="229">
        <f>IFERROR('🌤 Meteoroloji'!K17,"")</f>
        <v>2.8</v>
      </c>
      <c r="L12" s="229">
        <f>IFERROR('🌤 Meteoroloji'!L17,"")</f>
        <v>2.2000000000000002</v>
      </c>
      <c r="M12" s="229">
        <f>IFERROR('🌤 Meteoroloji'!M17,"")</f>
        <v>2</v>
      </c>
      <c r="N12" s="229">
        <f>IFERROR('🌤 Meteoroloji'!N17,"")</f>
        <v>2.5</v>
      </c>
      <c r="O12" s="229">
        <f>IFERROR('🌤 Meteoroloji'!O17,"")</f>
        <v>2.75</v>
      </c>
      <c r="P12" s="228"/>
    </row>
    <row r="13" spans="1:16" ht="19.5" customHeight="1" x14ac:dyDescent="0.2">
      <c r="B13" s="83" t="s">
        <v>324</v>
      </c>
      <c r="C13" s="228"/>
      <c r="D13" s="75">
        <f t="shared" ref="D13:O13" si="0">IFERROR($C$7*(0.253-0.051*D12)*(D10-D11),"")</f>
        <v>0</v>
      </c>
      <c r="E13" s="75">
        <f t="shared" si="0"/>
        <v>0</v>
      </c>
      <c r="F13" s="75">
        <f t="shared" si="0"/>
        <v>0</v>
      </c>
      <c r="G13" s="75">
        <f t="shared" si="0"/>
        <v>0</v>
      </c>
      <c r="H13" s="75">
        <f t="shared" si="0"/>
        <v>0</v>
      </c>
      <c r="I13" s="75">
        <f t="shared" si="0"/>
        <v>0</v>
      </c>
      <c r="J13" s="75">
        <f t="shared" si="0"/>
        <v>0</v>
      </c>
      <c r="K13" s="75">
        <f t="shared" si="0"/>
        <v>0</v>
      </c>
      <c r="L13" s="75">
        <f t="shared" si="0"/>
        <v>0</v>
      </c>
      <c r="M13" s="75">
        <f t="shared" si="0"/>
        <v>0</v>
      </c>
      <c r="N13" s="75">
        <f t="shared" si="0"/>
        <v>0</v>
      </c>
      <c r="O13" s="75">
        <f t="shared" si="0"/>
        <v>0</v>
      </c>
      <c r="P13" s="228"/>
    </row>
    <row r="14" spans="1:16" ht="19.5" customHeight="1" x14ac:dyDescent="0.2">
      <c r="B14" s="233" t="s">
        <v>325</v>
      </c>
      <c r="C14" s="230"/>
      <c r="D14" s="231">
        <f>IFERROR(D13*3600*24*31/1000,0)</f>
        <v>0</v>
      </c>
      <c r="E14" s="231">
        <f>IFERROR(E13*3600*24*28/1000,0)</f>
        <v>0</v>
      </c>
      <c r="F14" s="231">
        <f>IFERROR(F13*3600*24*31/1000,0)</f>
        <v>0</v>
      </c>
      <c r="G14" s="231">
        <f>IFERROR(G13*3600*24*30/1000,0)</f>
        <v>0</v>
      </c>
      <c r="H14" s="231">
        <f>IFERROR(H13*3600*24*31/1000,0)</f>
        <v>0</v>
      </c>
      <c r="I14" s="231">
        <f>IFERROR(I13*3600*24*30/1000,0)</f>
        <v>0</v>
      </c>
      <c r="J14" s="231">
        <f>IFERROR(J13*3600*24*31/1000,0)</f>
        <v>0</v>
      </c>
      <c r="K14" s="231">
        <f>IFERROR(K13*3600*24*31/1000,0)</f>
        <v>0</v>
      </c>
      <c r="L14" s="231">
        <f>IFERROR(L13*3600*24*30/1000,0)</f>
        <v>0</v>
      </c>
      <c r="M14" s="231">
        <f>IFERROR(M13*3600*24*31/1000,0)</f>
        <v>0</v>
      </c>
      <c r="N14" s="231">
        <f>IFERROR(N13*3600*24*30/1000,0)</f>
        <v>0</v>
      </c>
      <c r="O14" s="231">
        <f>IFERROR(O13*3600*24*31/1000,0)</f>
        <v>0</v>
      </c>
      <c r="P14" s="231">
        <f>IFERROR(SUM(D14:O14),0)</f>
        <v>0</v>
      </c>
    </row>
    <row r="16" spans="1:16" ht="15.75" customHeight="1" x14ac:dyDescent="0.2">
      <c r="A16" s="20" t="s">
        <v>326</v>
      </c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</row>
    <row r="17" spans="1:16" ht="15.75" customHeight="1" x14ac:dyDescent="0.2">
      <c r="A17" s="204"/>
      <c r="B17" s="234" t="s">
        <v>327</v>
      </c>
      <c r="C17" s="235"/>
      <c r="D17" s="235"/>
      <c r="E17" s="235"/>
      <c r="F17" s="204"/>
      <c r="G17" s="204"/>
      <c r="H17" s="204"/>
      <c r="I17" s="204"/>
      <c r="J17" s="204"/>
      <c r="K17" s="204"/>
      <c r="L17" s="204"/>
      <c r="M17" s="204"/>
      <c r="N17" s="204"/>
      <c r="O17" s="204"/>
      <c r="P17" s="204"/>
    </row>
    <row r="18" spans="1:16" ht="19.5" customHeight="1" x14ac:dyDescent="0.2">
      <c r="B18" s="236" t="s">
        <v>328</v>
      </c>
      <c r="C18" s="397">
        <v>8</v>
      </c>
      <c r="D18" s="398"/>
      <c r="E18" s="399"/>
    </row>
    <row r="19" spans="1:16" ht="19.5" customHeight="1" x14ac:dyDescent="0.2">
      <c r="B19" s="43" t="s">
        <v>329</v>
      </c>
      <c r="C19" s="383">
        <v>3</v>
      </c>
      <c r="D19" s="381"/>
      <c r="E19" s="382"/>
    </row>
    <row r="20" spans="1:16" ht="19.5" customHeight="1" x14ac:dyDescent="0.2">
      <c r="B20" s="43" t="s">
        <v>330</v>
      </c>
      <c r="C20" s="383">
        <v>1.5</v>
      </c>
      <c r="D20" s="381"/>
      <c r="E20" s="382"/>
    </row>
    <row r="21" spans="1:16" ht="19.5" customHeight="1" x14ac:dyDescent="0.2">
      <c r="B21" s="43" t="s">
        <v>331</v>
      </c>
      <c r="C21" s="383">
        <v>2E-3</v>
      </c>
      <c r="D21" s="381"/>
      <c r="E21" s="382"/>
    </row>
    <row r="22" spans="1:16" ht="19.5" customHeight="1" x14ac:dyDescent="0.2">
      <c r="B22" s="237" t="s">
        <v>332</v>
      </c>
      <c r="C22" s="384">
        <v>0.5</v>
      </c>
      <c r="D22" s="385"/>
      <c r="E22" s="386"/>
    </row>
    <row r="23" spans="1:16" ht="21.75" customHeight="1" x14ac:dyDescent="0.2">
      <c r="B23" s="193" t="s">
        <v>333</v>
      </c>
      <c r="D23" s="225" t="s">
        <v>19</v>
      </c>
      <c r="E23" s="225" t="s">
        <v>20</v>
      </c>
      <c r="F23" s="225" t="s">
        <v>21</v>
      </c>
      <c r="G23" s="225" t="s">
        <v>22</v>
      </c>
      <c r="H23" s="225" t="s">
        <v>23</v>
      </c>
      <c r="I23" s="225" t="s">
        <v>24</v>
      </c>
      <c r="J23" s="225" t="s">
        <v>25</v>
      </c>
      <c r="K23" s="225" t="s">
        <v>26</v>
      </c>
      <c r="L23" s="225" t="s">
        <v>27</v>
      </c>
      <c r="M23" s="225" t="s">
        <v>28</v>
      </c>
      <c r="N23" s="225" t="s">
        <v>29</v>
      </c>
      <c r="O23" s="225" t="s">
        <v>30</v>
      </c>
      <c r="P23" s="225" t="s">
        <v>320</v>
      </c>
    </row>
    <row r="24" spans="1:16" ht="19.5" customHeight="1" x14ac:dyDescent="0.2">
      <c r="B24" s="8" t="s">
        <v>334</v>
      </c>
      <c r="D24" s="238">
        <f>IFERROR($C$18*$C$22*744,0)</f>
        <v>2976</v>
      </c>
      <c r="E24" s="238">
        <f>IFERROR($C$18*$C$22*672,0)</f>
        <v>2688</v>
      </c>
      <c r="F24" s="238">
        <f>IFERROR($C$18*$C$22*744,0)</f>
        <v>2976</v>
      </c>
      <c r="G24" s="238">
        <f>IFERROR($C$18*$C$22*720,0)</f>
        <v>2880</v>
      </c>
      <c r="H24" s="238">
        <f>IFERROR($C$18*$C$22*744,0)</f>
        <v>2976</v>
      </c>
      <c r="I24" s="238">
        <f>IFERROR($C$18*$C$22*720,0)</f>
        <v>2880</v>
      </c>
      <c r="J24" s="238">
        <f>IFERROR($C$18*$C$22*744,0)</f>
        <v>2976</v>
      </c>
      <c r="K24" s="238">
        <f>IFERROR($C$18*$C$22*744,0)</f>
        <v>2976</v>
      </c>
      <c r="L24" s="238">
        <f>IFERROR($C$18*$C$22*720,0)</f>
        <v>2880</v>
      </c>
      <c r="M24" s="238">
        <f>IFERROR($C$18*$C$22*744,0)</f>
        <v>2976</v>
      </c>
      <c r="N24" s="238">
        <f>IFERROR($C$18*$C$22*720,0)</f>
        <v>2880</v>
      </c>
      <c r="O24" s="238">
        <f>IFERROR($C$18*$C$22*744,0)</f>
        <v>2976</v>
      </c>
      <c r="P24" s="240">
        <f>IFERROR(SUM(D24:O24),0)</f>
        <v>35040</v>
      </c>
    </row>
    <row r="25" spans="1:16" ht="19.5" customHeight="1" x14ac:dyDescent="0.2">
      <c r="B25" s="58" t="s">
        <v>335</v>
      </c>
      <c r="D25" s="176">
        <f>IFERROR($C$18*$C$20/100*$C$22*744,0)</f>
        <v>44.64</v>
      </c>
      <c r="E25" s="176">
        <f>IFERROR($C$18*$C$20/100*$C$22*672,0)</f>
        <v>40.32</v>
      </c>
      <c r="F25" s="176">
        <f>IFERROR($C$18*$C$20/100*$C$22*744,0)</f>
        <v>44.64</v>
      </c>
      <c r="G25" s="176">
        <f>IFERROR($C$18*$C$20/100*$C$22*720,0)</f>
        <v>43.199999999999996</v>
      </c>
      <c r="H25" s="176">
        <f>IFERROR($C$18*$C$20/100*$C$22*744,0)</f>
        <v>44.64</v>
      </c>
      <c r="I25" s="176">
        <f>IFERROR($C$18*$C$20/100*$C$22*720,0)</f>
        <v>43.199999999999996</v>
      </c>
      <c r="J25" s="176">
        <f>IFERROR($C$18*$C$20/100*$C$22*744,0)</f>
        <v>44.64</v>
      </c>
      <c r="K25" s="176">
        <f>IFERROR($C$18*$C$20/100*$C$22*744,0)</f>
        <v>44.64</v>
      </c>
      <c r="L25" s="176">
        <f>IFERROR($C$18*$C$20/100*$C$22*720,0)</f>
        <v>43.199999999999996</v>
      </c>
      <c r="M25" s="176">
        <f>IFERROR($C$18*$C$20/100*$C$22*744,0)</f>
        <v>44.64</v>
      </c>
      <c r="N25" s="176">
        <f>IFERROR($C$18*$C$20/100*$C$22*720,0)</f>
        <v>43.199999999999996</v>
      </c>
      <c r="O25" s="176">
        <f>IFERROR($C$18*$C$20/100*$C$22*744,0)</f>
        <v>44.64</v>
      </c>
      <c r="P25" s="241">
        <f>IFERROR(SUM(D25:O25),0)</f>
        <v>525.59999999999991</v>
      </c>
    </row>
    <row r="26" spans="1:16" ht="19.5" customHeight="1" x14ac:dyDescent="0.2">
      <c r="B26" s="8" t="s">
        <v>336</v>
      </c>
      <c r="D26" s="239">
        <f t="shared" ref="D26:O26" si="1">IFERROR(D25/($C$19-1),0)</f>
        <v>22.32</v>
      </c>
      <c r="E26" s="239">
        <f t="shared" si="1"/>
        <v>20.16</v>
      </c>
      <c r="F26" s="239">
        <f t="shared" si="1"/>
        <v>22.32</v>
      </c>
      <c r="G26" s="239">
        <f t="shared" si="1"/>
        <v>21.599999999999998</v>
      </c>
      <c r="H26" s="239">
        <f t="shared" si="1"/>
        <v>22.32</v>
      </c>
      <c r="I26" s="239">
        <f t="shared" si="1"/>
        <v>21.599999999999998</v>
      </c>
      <c r="J26" s="239">
        <f t="shared" si="1"/>
        <v>22.32</v>
      </c>
      <c r="K26" s="239">
        <f t="shared" si="1"/>
        <v>22.32</v>
      </c>
      <c r="L26" s="239">
        <f t="shared" si="1"/>
        <v>21.599999999999998</v>
      </c>
      <c r="M26" s="239">
        <f t="shared" si="1"/>
        <v>22.32</v>
      </c>
      <c r="N26" s="239">
        <f t="shared" si="1"/>
        <v>21.599999999999998</v>
      </c>
      <c r="O26" s="239">
        <f t="shared" si="1"/>
        <v>22.32</v>
      </c>
      <c r="P26" s="242">
        <f>IFERROR(SUM(D26:O26),0)</f>
        <v>262.79999999999995</v>
      </c>
    </row>
    <row r="27" spans="1:16" ht="19.5" customHeight="1" x14ac:dyDescent="0.2">
      <c r="B27" s="99" t="s">
        <v>337</v>
      </c>
      <c r="D27" s="188">
        <f>IFERROR($C$18*$C$21/100*$C$22*744,0)</f>
        <v>5.9520000000000003E-2</v>
      </c>
      <c r="E27" s="188">
        <f>IFERROR($C$18*$C$21/100*$C$22*672,0)</f>
        <v>5.3760000000000002E-2</v>
      </c>
      <c r="F27" s="188">
        <f>IFERROR($C$18*$C$21/100*$C$22*744,0)</f>
        <v>5.9520000000000003E-2</v>
      </c>
      <c r="G27" s="188">
        <f>IFERROR($C$18*$C$21/100*$C$22*720,0)</f>
        <v>5.7600000000000005E-2</v>
      </c>
      <c r="H27" s="188">
        <f>IFERROR($C$18*$C$21/100*$C$22*744,0)</f>
        <v>5.9520000000000003E-2</v>
      </c>
      <c r="I27" s="188">
        <f>IFERROR($C$18*$C$21/100*$C$22*720,0)</f>
        <v>5.7600000000000005E-2</v>
      </c>
      <c r="J27" s="188">
        <f>IFERROR($C$18*$C$21/100*$C$22*744,0)</f>
        <v>5.9520000000000003E-2</v>
      </c>
      <c r="K27" s="188">
        <f>IFERROR($C$18*$C$21/100*$C$22*744,0)</f>
        <v>5.9520000000000003E-2</v>
      </c>
      <c r="L27" s="188">
        <f>IFERROR($C$18*$C$21/100*$C$22*720,0)</f>
        <v>5.7600000000000005E-2</v>
      </c>
      <c r="M27" s="188">
        <f>IFERROR($C$18*$C$21/100*$C$22*744,0)</f>
        <v>5.9520000000000003E-2</v>
      </c>
      <c r="N27" s="188">
        <f>IFERROR($C$18*$C$21/100*$C$22*720,0)</f>
        <v>5.7600000000000005E-2</v>
      </c>
      <c r="O27" s="188">
        <f>IFERROR($C$18*$C$21/100*$C$22*744,0)</f>
        <v>5.9520000000000003E-2</v>
      </c>
      <c r="P27" s="243">
        <f>IFERROR(SUM(D27:O27),0)</f>
        <v>0.70080000000000009</v>
      </c>
    </row>
    <row r="28" spans="1:16" ht="19.5" customHeight="1" x14ac:dyDescent="0.2">
      <c r="A28" s="91"/>
      <c r="B28" s="92" t="s">
        <v>338</v>
      </c>
      <c r="C28" s="91"/>
      <c r="D28" s="105">
        <f t="shared" ref="D28:O28" si="2">IFERROR(D25+D26+D27,0)</f>
        <v>67.019520000000014</v>
      </c>
      <c r="E28" s="105">
        <f t="shared" si="2"/>
        <v>60.533760000000001</v>
      </c>
      <c r="F28" s="105">
        <f t="shared" si="2"/>
        <v>67.019520000000014</v>
      </c>
      <c r="G28" s="105">
        <f t="shared" si="2"/>
        <v>64.857599999999991</v>
      </c>
      <c r="H28" s="105">
        <f t="shared" si="2"/>
        <v>67.019520000000014</v>
      </c>
      <c r="I28" s="105">
        <f t="shared" si="2"/>
        <v>64.857599999999991</v>
      </c>
      <c r="J28" s="105">
        <f t="shared" si="2"/>
        <v>67.019520000000014</v>
      </c>
      <c r="K28" s="105">
        <f t="shared" si="2"/>
        <v>67.019520000000014</v>
      </c>
      <c r="L28" s="105">
        <f t="shared" si="2"/>
        <v>64.857599999999991</v>
      </c>
      <c r="M28" s="105">
        <f t="shared" si="2"/>
        <v>67.019520000000014</v>
      </c>
      <c r="N28" s="105">
        <f t="shared" si="2"/>
        <v>64.857599999999991</v>
      </c>
      <c r="O28" s="105">
        <f t="shared" si="2"/>
        <v>67.019520000000014</v>
      </c>
      <c r="P28" s="105">
        <f>IFERROR(SUM(D28:O28),0)</f>
        <v>789.10080000000016</v>
      </c>
    </row>
    <row r="29" spans="1:16" x14ac:dyDescent="0.2">
      <c r="A29" s="93"/>
      <c r="B29" s="93"/>
      <c r="C29" s="93"/>
      <c r="D29" s="93"/>
      <c r="E29" s="93"/>
      <c r="F29" s="93"/>
      <c r="G29" s="93"/>
      <c r="H29" s="93"/>
      <c r="I29" s="93"/>
      <c r="J29" s="93"/>
      <c r="K29" s="93"/>
      <c r="L29" s="93"/>
      <c r="M29" s="93"/>
      <c r="N29" s="93"/>
      <c r="O29" s="93"/>
      <c r="P29" s="93"/>
    </row>
    <row r="30" spans="1:16" ht="15.75" customHeight="1" x14ac:dyDescent="0.2">
      <c r="A30" s="95" t="s">
        <v>339</v>
      </c>
      <c r="B30" s="96"/>
      <c r="C30" s="96"/>
      <c r="D30" s="96"/>
      <c r="E30" s="96"/>
      <c r="F30" s="96"/>
      <c r="G30" s="96"/>
      <c r="H30" s="96"/>
      <c r="I30" s="96"/>
      <c r="J30" s="96"/>
      <c r="K30" s="96"/>
      <c r="L30" s="96"/>
      <c r="M30" s="96"/>
      <c r="N30" s="96"/>
      <c r="O30" s="96"/>
      <c r="P30" s="96"/>
    </row>
    <row r="31" spans="1:16" ht="15.75" customHeight="1" x14ac:dyDescent="0.2">
      <c r="A31" s="206"/>
      <c r="B31" s="244" t="s">
        <v>340</v>
      </c>
      <c r="C31" s="245"/>
      <c r="D31" s="245"/>
      <c r="E31" s="245"/>
      <c r="F31" s="206"/>
      <c r="G31" s="206"/>
      <c r="H31" s="206"/>
      <c r="I31" s="206"/>
      <c r="J31" s="206"/>
      <c r="K31" s="206"/>
      <c r="L31" s="206"/>
      <c r="M31" s="206"/>
      <c r="N31" s="206"/>
      <c r="O31" s="206"/>
      <c r="P31" s="206"/>
    </row>
    <row r="32" spans="1:16" ht="19.5" customHeight="1" x14ac:dyDescent="0.2">
      <c r="B32" s="247" t="s">
        <v>341</v>
      </c>
      <c r="C32" s="404">
        <v>4500</v>
      </c>
      <c r="D32" s="405"/>
      <c r="E32" s="406"/>
    </row>
    <row r="33" spans="1:16" ht="19.5" customHeight="1" x14ac:dyDescent="0.2">
      <c r="B33" s="248" t="s">
        <v>342</v>
      </c>
      <c r="C33" s="383" t="s">
        <v>343</v>
      </c>
      <c r="D33" s="381"/>
      <c r="E33" s="382"/>
    </row>
    <row r="34" spans="1:16" ht="19.5" customHeight="1" x14ac:dyDescent="0.2">
      <c r="B34" s="248" t="s">
        <v>344</v>
      </c>
      <c r="C34" s="383">
        <v>0.75</v>
      </c>
      <c r="D34" s="381"/>
      <c r="E34" s="382"/>
    </row>
    <row r="35" spans="1:16" ht="19.5" customHeight="1" x14ac:dyDescent="0.2">
      <c r="B35" s="249" t="s">
        <v>345</v>
      </c>
      <c r="C35" s="384">
        <v>75</v>
      </c>
      <c r="D35" s="385"/>
      <c r="E35" s="386"/>
    </row>
    <row r="36" spans="1:16" ht="21.75" customHeight="1" x14ac:dyDescent="0.2">
      <c r="B36" s="246" t="s">
        <v>333</v>
      </c>
      <c r="D36" s="250" t="s">
        <v>19</v>
      </c>
      <c r="E36" s="250" t="s">
        <v>20</v>
      </c>
      <c r="F36" s="251" t="s">
        <v>21</v>
      </c>
      <c r="G36" s="251" t="s">
        <v>22</v>
      </c>
      <c r="H36" s="251" t="s">
        <v>23</v>
      </c>
      <c r="I36" s="251" t="s">
        <v>24</v>
      </c>
      <c r="J36" s="251" t="s">
        <v>25</v>
      </c>
      <c r="K36" s="251" t="s">
        <v>26</v>
      </c>
      <c r="L36" s="251" t="s">
        <v>27</v>
      </c>
      <c r="M36" s="251" t="s">
        <v>28</v>
      </c>
      <c r="N36" s="251" t="s">
        <v>29</v>
      </c>
      <c r="O36" s="251" t="s">
        <v>30</v>
      </c>
      <c r="P36" s="225" t="s">
        <v>320</v>
      </c>
    </row>
    <row r="37" spans="1:16" ht="19.5" customHeight="1" x14ac:dyDescent="0.2">
      <c r="B37" s="196" t="s">
        <v>174</v>
      </c>
      <c r="D37" s="252">
        <f>IFERROR('🌤 Meteoroloji'!D26,0)</f>
        <v>0.67643666999999996</v>
      </c>
      <c r="E37" s="252">
        <f>IFERROR('🌤 Meteoroloji'!E26,0)</f>
        <v>1.224541000550158</v>
      </c>
      <c r="F37" s="252">
        <f>IFERROR('🌤 Meteoroloji'!F26,0)</f>
        <v>1.9332285560600428</v>
      </c>
      <c r="G37" s="252">
        <f>IFERROR('🌤 Meteoroloji'!G26,0)</f>
        <v>3.0369515710152184</v>
      </c>
      <c r="H37" s="252">
        <f>IFERROR('🌤 Meteoroloji'!H26,0)</f>
        <v>3.9725532546805757</v>
      </c>
      <c r="I37" s="252">
        <f>IFERROR('🌤 Meteoroloji'!I26,0)</f>
        <v>4.4211468232951887</v>
      </c>
      <c r="J37" s="252">
        <f>IFERROR('🌤 Meteoroloji'!J26,0)</f>
        <v>3.8314578117384408</v>
      </c>
      <c r="K37" s="252">
        <f>IFERROR('🌤 Meteoroloji'!K26,0)</f>
        <v>2.6155784376674927</v>
      </c>
      <c r="L37" s="252">
        <f>IFERROR('🌤 Meteoroloji'!L26,0)</f>
        <v>1.5615769486815287</v>
      </c>
      <c r="M37" s="252">
        <f>IFERROR('🌤 Meteoroloji'!M26,0)</f>
        <v>0.7962123414127823</v>
      </c>
      <c r="N37" s="252">
        <f>IFERROR('🌤 Meteoroloji'!N26,0)</f>
        <v>0.46228092941137089</v>
      </c>
      <c r="O37" s="252">
        <f>IFERROR('🌤 Meteoroloji'!O26,0)</f>
        <v>2.0865745262832109</v>
      </c>
      <c r="P37" s="130">
        <f>IFERROR(SUM(D37:O37),0)</f>
        <v>26.618538870796016</v>
      </c>
    </row>
    <row r="38" spans="1:16" ht="19.5" customHeight="1" x14ac:dyDescent="0.2">
      <c r="B38" s="198" t="s">
        <v>346</v>
      </c>
      <c r="D38" s="253">
        <f t="shared" ref="D38:O38" si="3">IFERROR($C$34*D37,0)</f>
        <v>0.50732750249999992</v>
      </c>
      <c r="E38" s="253">
        <f t="shared" si="3"/>
        <v>0.91840575041261852</v>
      </c>
      <c r="F38" s="253">
        <f t="shared" si="3"/>
        <v>1.4499214170450321</v>
      </c>
      <c r="G38" s="253">
        <f t="shared" si="3"/>
        <v>2.2777136782614136</v>
      </c>
      <c r="H38" s="253">
        <f t="shared" si="3"/>
        <v>2.9794149410104316</v>
      </c>
      <c r="I38" s="253">
        <f t="shared" si="3"/>
        <v>3.3158601174713915</v>
      </c>
      <c r="J38" s="253">
        <f t="shared" si="3"/>
        <v>2.8735933588038307</v>
      </c>
      <c r="K38" s="253">
        <f t="shared" si="3"/>
        <v>1.9616838282506195</v>
      </c>
      <c r="L38" s="253">
        <f t="shared" si="3"/>
        <v>1.1711827115111466</v>
      </c>
      <c r="M38" s="253">
        <f t="shared" si="3"/>
        <v>0.59715925605958675</v>
      </c>
      <c r="N38" s="253">
        <f t="shared" si="3"/>
        <v>0.34671069705852819</v>
      </c>
      <c r="O38" s="253">
        <f t="shared" si="3"/>
        <v>1.5649308947124081</v>
      </c>
      <c r="P38" s="133">
        <f>IFERROR(SUM(D38:O38),0)</f>
        <v>19.963904153097012</v>
      </c>
    </row>
    <row r="39" spans="1:16" ht="19.5" customHeight="1" x14ac:dyDescent="0.2">
      <c r="B39" s="199" t="s">
        <v>347</v>
      </c>
      <c r="D39" s="254">
        <f t="shared" ref="D39:O39" si="4">IFERROR(D38*$C$32/1000,0)</f>
        <v>2.2829737612499996</v>
      </c>
      <c r="E39" s="254">
        <f t="shared" si="4"/>
        <v>4.1328258768567832</v>
      </c>
      <c r="F39" s="254">
        <f t="shared" si="4"/>
        <v>6.5246463767026448</v>
      </c>
      <c r="G39" s="254">
        <f t="shared" si="4"/>
        <v>10.249711552176361</v>
      </c>
      <c r="H39" s="254">
        <f t="shared" si="4"/>
        <v>13.407367234546943</v>
      </c>
      <c r="I39" s="254">
        <f t="shared" si="4"/>
        <v>14.921370528621262</v>
      </c>
      <c r="J39" s="254">
        <f t="shared" si="4"/>
        <v>12.931170114617238</v>
      </c>
      <c r="K39" s="254">
        <f t="shared" si="4"/>
        <v>8.8275772271277866</v>
      </c>
      <c r="L39" s="254">
        <f t="shared" si="4"/>
        <v>5.2703222018001599</v>
      </c>
      <c r="M39" s="254">
        <f t="shared" si="4"/>
        <v>2.6872166522681407</v>
      </c>
      <c r="N39" s="254">
        <f t="shared" si="4"/>
        <v>1.5601981367633768</v>
      </c>
      <c r="O39" s="254">
        <f t="shared" si="4"/>
        <v>7.0421890262058371</v>
      </c>
      <c r="P39" s="241">
        <f>IFERROR(SUM(D39:O39),0)</f>
        <v>89.837568688936514</v>
      </c>
    </row>
    <row r="40" spans="1:16" ht="19.5" customHeight="1" x14ac:dyDescent="0.2">
      <c r="B40" s="198" t="s">
        <v>348</v>
      </c>
      <c r="D40" s="255">
        <f t="shared" ref="D40:O40" si="5">IFERROR(D39/($C$35/100),0)</f>
        <v>3.0439650149999995</v>
      </c>
      <c r="E40" s="255">
        <f t="shared" si="5"/>
        <v>5.5104345024757109</v>
      </c>
      <c r="F40" s="255">
        <f t="shared" si="5"/>
        <v>8.6995285022701925</v>
      </c>
      <c r="G40" s="255">
        <f t="shared" si="5"/>
        <v>13.666282069568481</v>
      </c>
      <c r="H40" s="255">
        <f t="shared" si="5"/>
        <v>17.876489646062591</v>
      </c>
      <c r="I40" s="255">
        <f t="shared" si="5"/>
        <v>19.895160704828349</v>
      </c>
      <c r="J40" s="255">
        <f t="shared" si="5"/>
        <v>17.241560152822984</v>
      </c>
      <c r="K40" s="255">
        <f t="shared" si="5"/>
        <v>11.770102969503716</v>
      </c>
      <c r="L40" s="255">
        <f t="shared" si="5"/>
        <v>7.0270962690668801</v>
      </c>
      <c r="M40" s="255">
        <f t="shared" si="5"/>
        <v>3.5829555363575207</v>
      </c>
      <c r="N40" s="255">
        <f t="shared" si="5"/>
        <v>2.0802641823511689</v>
      </c>
      <c r="O40" s="255">
        <f t="shared" si="5"/>
        <v>9.3895853682744495</v>
      </c>
      <c r="P40" s="256">
        <f>IFERROR(SUM(D40:O40),0)</f>
        <v>119.78342491858203</v>
      </c>
    </row>
    <row r="42" spans="1:16" ht="15.75" customHeight="1" x14ac:dyDescent="0.2">
      <c r="A42" s="207" t="s">
        <v>349</v>
      </c>
      <c r="B42" s="208"/>
      <c r="C42" s="208"/>
      <c r="D42" s="208"/>
      <c r="E42" s="208"/>
      <c r="F42" s="208"/>
      <c r="G42" s="208"/>
      <c r="H42" s="208"/>
      <c r="I42" s="208"/>
      <c r="J42" s="208"/>
      <c r="K42" s="208"/>
      <c r="L42" s="208"/>
      <c r="M42" s="208"/>
      <c r="N42" s="208"/>
      <c r="O42" s="208"/>
      <c r="P42" s="208"/>
    </row>
    <row r="43" spans="1:16" ht="15.75" customHeight="1" x14ac:dyDescent="0.2">
      <c r="A43" s="209"/>
      <c r="B43" s="257" t="s">
        <v>350</v>
      </c>
      <c r="C43" s="258"/>
      <c r="D43" s="258"/>
      <c r="E43" s="258"/>
      <c r="F43" s="209"/>
      <c r="G43" s="209"/>
      <c r="H43" s="209"/>
      <c r="I43" s="209"/>
      <c r="J43" s="209"/>
      <c r="K43" s="209"/>
      <c r="L43" s="209"/>
      <c r="M43" s="209"/>
      <c r="N43" s="209"/>
      <c r="O43" s="209"/>
      <c r="P43" s="209"/>
    </row>
    <row r="44" spans="1:16" ht="19.5" customHeight="1" x14ac:dyDescent="0.2">
      <c r="B44" s="262" t="s">
        <v>351</v>
      </c>
      <c r="C44" s="393"/>
      <c r="D44" s="394"/>
      <c r="E44" s="395"/>
    </row>
    <row r="45" spans="1:16" ht="19.5" customHeight="1" x14ac:dyDescent="0.2">
      <c r="B45" s="263" t="s">
        <v>352</v>
      </c>
      <c r="C45" s="383">
        <v>85</v>
      </c>
      <c r="D45" s="381"/>
      <c r="E45" s="382"/>
    </row>
    <row r="46" spans="1:16" ht="19.5" customHeight="1" x14ac:dyDescent="0.2">
      <c r="B46" s="264" t="s">
        <v>332</v>
      </c>
      <c r="C46" s="384"/>
      <c r="D46" s="385"/>
      <c r="E46" s="386"/>
    </row>
    <row r="47" spans="1:16" ht="21.75" customHeight="1" x14ac:dyDescent="0.2">
      <c r="B47" s="259" t="s">
        <v>335</v>
      </c>
      <c r="D47" s="260" t="s">
        <v>19</v>
      </c>
      <c r="E47" s="260" t="s">
        <v>20</v>
      </c>
      <c r="F47" s="200" t="s">
        <v>21</v>
      </c>
      <c r="G47" s="200" t="s">
        <v>22</v>
      </c>
      <c r="H47" s="200" t="s">
        <v>23</v>
      </c>
      <c r="I47" s="200" t="s">
        <v>24</v>
      </c>
      <c r="J47" s="200" t="s">
        <v>25</v>
      </c>
      <c r="K47" s="200" t="s">
        <v>26</v>
      </c>
      <c r="L47" s="200" t="s">
        <v>27</v>
      </c>
      <c r="M47" s="200" t="s">
        <v>28</v>
      </c>
      <c r="N47" s="200" t="s">
        <v>29</v>
      </c>
      <c r="O47" s="200" t="s">
        <v>30</v>
      </c>
      <c r="P47" s="191" t="s">
        <v>320</v>
      </c>
    </row>
    <row r="48" spans="1:16" ht="19.5" customHeight="1" x14ac:dyDescent="0.2">
      <c r="B48" s="201" t="s">
        <v>353</v>
      </c>
      <c r="D48" s="202">
        <f>IFERROR($C$44*($C$45/100)*('🌤 Meteoroloji'!D24/101.325)*1.2*$C$46*744/1000,0)</f>
        <v>0</v>
      </c>
      <c r="E48" s="202">
        <f>IFERROR($C$44*($C$45/100)*('🌤 Meteoroloji'!E24/101.325)*1.2*$C$46*672/1000,0)</f>
        <v>0</v>
      </c>
      <c r="F48" s="202">
        <f>IFERROR($C$44*($C$45/100)*('🌤 Meteoroloji'!F24/101.325)*1.2*$C$46*744/1000,0)</f>
        <v>0</v>
      </c>
      <c r="G48" s="202">
        <f>IFERROR($C$44*($C$45/100)*('🌤 Meteoroloji'!G24/101.325)*1.2*$C$46*720/1000,0)</f>
        <v>0</v>
      </c>
      <c r="H48" s="202">
        <f>IFERROR($C$44*($C$45/100)*('🌤 Meteoroloji'!H24/101.325)*1.2*$C$46*744/1000,0)</f>
        <v>0</v>
      </c>
      <c r="I48" s="202">
        <f>IFERROR($C$44*($C$45/100)*('🌤 Meteoroloji'!I24/101.325)*1.2*$C$46*720/1000,0)</f>
        <v>0</v>
      </c>
      <c r="J48" s="202">
        <f>IFERROR($C$44*($C$45/100)*('🌤 Meteoroloji'!J24/101.325)*1.2*$C$46*744/1000,0)</f>
        <v>0</v>
      </c>
      <c r="K48" s="202">
        <f>IFERROR($C$44*($C$45/100)*('🌤 Meteoroloji'!K24/101.325)*1.2*$C$46*744/1000,0)</f>
        <v>0</v>
      </c>
      <c r="L48" s="202">
        <f>IFERROR($C$44*($C$45/100)*('🌤 Meteoroloji'!L24/101.325)*1.2*$C$46*720/1000,0)</f>
        <v>0</v>
      </c>
      <c r="M48" s="202">
        <f>IFERROR($C$44*($C$45/100)*('🌤 Meteoroloji'!M24/101.325)*1.2*$C$46*744/1000,0)</f>
        <v>0</v>
      </c>
      <c r="N48" s="202">
        <f>IFERROR($C$44*($C$45/100)*('🌤 Meteoroloji'!N24/101.325)*1.2*$C$46*720/1000,0)</f>
        <v>0</v>
      </c>
      <c r="O48" s="202">
        <f>IFERROR($C$44*($C$45/100)*('🌤 Meteoroloji'!O24/101.325)*1.2*$C$46*744/1000,0)</f>
        <v>0</v>
      </c>
      <c r="P48" s="202">
        <f>IFERROR(SUM(D48:O48),0)</f>
        <v>0</v>
      </c>
    </row>
    <row r="50" spans="1:16" ht="15.75" customHeight="1" x14ac:dyDescent="0.2">
      <c r="A50" s="20" t="s">
        <v>354</v>
      </c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</row>
    <row r="51" spans="1:16" ht="21.75" customHeight="1" x14ac:dyDescent="0.2">
      <c r="B51" s="210" t="s">
        <v>355</v>
      </c>
      <c r="D51" s="211" t="s">
        <v>19</v>
      </c>
      <c r="E51" s="211" t="s">
        <v>20</v>
      </c>
      <c r="F51" s="211" t="s">
        <v>21</v>
      </c>
      <c r="G51" s="211" t="s">
        <v>22</v>
      </c>
      <c r="H51" s="211" t="s">
        <v>23</v>
      </c>
      <c r="I51" s="211" t="s">
        <v>24</v>
      </c>
      <c r="J51" s="211" t="s">
        <v>25</v>
      </c>
      <c r="K51" s="211" t="s">
        <v>26</v>
      </c>
      <c r="L51" s="211" t="s">
        <v>27</v>
      </c>
      <c r="M51" s="211" t="s">
        <v>28</v>
      </c>
      <c r="N51" s="211" t="s">
        <v>29</v>
      </c>
      <c r="O51" s="211" t="s">
        <v>30</v>
      </c>
      <c r="P51" s="211" t="s">
        <v>320</v>
      </c>
    </row>
    <row r="52" spans="1:16" ht="19.5" customHeight="1" x14ac:dyDescent="0.2">
      <c r="B52" s="190" t="s">
        <v>356</v>
      </c>
      <c r="D52" s="192">
        <f t="shared" ref="D52:O52" si="6">IFERROR(D14,0)</f>
        <v>0</v>
      </c>
      <c r="E52" s="192">
        <f t="shared" si="6"/>
        <v>0</v>
      </c>
      <c r="F52" s="192">
        <f t="shared" si="6"/>
        <v>0</v>
      </c>
      <c r="G52" s="192">
        <f t="shared" si="6"/>
        <v>0</v>
      </c>
      <c r="H52" s="192">
        <f t="shared" si="6"/>
        <v>0</v>
      </c>
      <c r="I52" s="192">
        <f t="shared" si="6"/>
        <v>0</v>
      </c>
      <c r="J52" s="192">
        <f t="shared" si="6"/>
        <v>0</v>
      </c>
      <c r="K52" s="192">
        <f t="shared" si="6"/>
        <v>0</v>
      </c>
      <c r="L52" s="192">
        <f t="shared" si="6"/>
        <v>0</v>
      </c>
      <c r="M52" s="192">
        <f t="shared" si="6"/>
        <v>0</v>
      </c>
      <c r="N52" s="192">
        <f t="shared" si="6"/>
        <v>0</v>
      </c>
      <c r="O52" s="192">
        <f t="shared" si="6"/>
        <v>0</v>
      </c>
      <c r="P52" s="7">
        <f>IFERROR(SUM(D52:O52),0)</f>
        <v>0</v>
      </c>
    </row>
    <row r="53" spans="1:16" ht="19.5" customHeight="1" x14ac:dyDescent="0.2">
      <c r="B53" s="58" t="s">
        <v>357</v>
      </c>
      <c r="D53" s="140">
        <f t="shared" ref="D53:O53" si="7">IFERROR(D28,0)</f>
        <v>67.019520000000014</v>
      </c>
      <c r="E53" s="140">
        <f t="shared" si="7"/>
        <v>60.533760000000001</v>
      </c>
      <c r="F53" s="140">
        <f t="shared" si="7"/>
        <v>67.019520000000014</v>
      </c>
      <c r="G53" s="140">
        <f t="shared" si="7"/>
        <v>64.857599999999991</v>
      </c>
      <c r="H53" s="140">
        <f t="shared" si="7"/>
        <v>67.019520000000014</v>
      </c>
      <c r="I53" s="140">
        <f t="shared" si="7"/>
        <v>64.857599999999991</v>
      </c>
      <c r="J53" s="140">
        <f t="shared" si="7"/>
        <v>67.019520000000014</v>
      </c>
      <c r="K53" s="140">
        <f t="shared" si="7"/>
        <v>67.019520000000014</v>
      </c>
      <c r="L53" s="140">
        <f t="shared" si="7"/>
        <v>64.857599999999991</v>
      </c>
      <c r="M53" s="140">
        <f t="shared" si="7"/>
        <v>67.019520000000014</v>
      </c>
      <c r="N53" s="140">
        <f t="shared" si="7"/>
        <v>64.857599999999991</v>
      </c>
      <c r="O53" s="140">
        <f t="shared" si="7"/>
        <v>67.019520000000014</v>
      </c>
      <c r="P53" s="195">
        <f>IFERROR(SUM(D53:O53),0)</f>
        <v>789.10080000000016</v>
      </c>
    </row>
    <row r="54" spans="1:16" ht="19.5" customHeight="1" x14ac:dyDescent="0.2">
      <c r="B54" s="196" t="s">
        <v>358</v>
      </c>
      <c r="D54" s="197">
        <f t="shared" ref="D54:O54" si="8">IFERROR(D40,0)</f>
        <v>3.0439650149999995</v>
      </c>
      <c r="E54" s="197">
        <f t="shared" si="8"/>
        <v>5.5104345024757109</v>
      </c>
      <c r="F54" s="197">
        <f t="shared" si="8"/>
        <v>8.6995285022701925</v>
      </c>
      <c r="G54" s="197">
        <f t="shared" si="8"/>
        <v>13.666282069568481</v>
      </c>
      <c r="H54" s="197">
        <f t="shared" si="8"/>
        <v>17.876489646062591</v>
      </c>
      <c r="I54" s="197">
        <f t="shared" si="8"/>
        <v>19.895160704828349</v>
      </c>
      <c r="J54" s="197">
        <f t="shared" si="8"/>
        <v>17.241560152822984</v>
      </c>
      <c r="K54" s="197">
        <f t="shared" si="8"/>
        <v>11.770102969503716</v>
      </c>
      <c r="L54" s="197">
        <f t="shared" si="8"/>
        <v>7.0270962690668801</v>
      </c>
      <c r="M54" s="197">
        <f t="shared" si="8"/>
        <v>3.5829555363575207</v>
      </c>
      <c r="N54" s="197">
        <f t="shared" si="8"/>
        <v>2.0802641823511689</v>
      </c>
      <c r="O54" s="197">
        <f t="shared" si="8"/>
        <v>9.3895853682744495</v>
      </c>
      <c r="P54" s="194">
        <f>IFERROR(SUM(D54:O54),0)</f>
        <v>119.78342491858203</v>
      </c>
    </row>
    <row r="55" spans="1:16" ht="19.5" customHeight="1" x14ac:dyDescent="0.2">
      <c r="B55" s="212" t="s">
        <v>359</v>
      </c>
      <c r="D55" s="213">
        <f t="shared" ref="D55:O55" si="9">IFERROR(D48,0)</f>
        <v>0</v>
      </c>
      <c r="E55" s="213">
        <f t="shared" si="9"/>
        <v>0</v>
      </c>
      <c r="F55" s="213">
        <f t="shared" si="9"/>
        <v>0</v>
      </c>
      <c r="G55" s="213">
        <f t="shared" si="9"/>
        <v>0</v>
      </c>
      <c r="H55" s="213">
        <f t="shared" si="9"/>
        <v>0</v>
      </c>
      <c r="I55" s="213">
        <f t="shared" si="9"/>
        <v>0</v>
      </c>
      <c r="J55" s="213">
        <f t="shared" si="9"/>
        <v>0</v>
      </c>
      <c r="K55" s="213">
        <f t="shared" si="9"/>
        <v>0</v>
      </c>
      <c r="L55" s="213">
        <f t="shared" si="9"/>
        <v>0</v>
      </c>
      <c r="M55" s="213">
        <f t="shared" si="9"/>
        <v>0</v>
      </c>
      <c r="N55" s="213">
        <f t="shared" si="9"/>
        <v>0</v>
      </c>
      <c r="O55" s="213">
        <f t="shared" si="9"/>
        <v>0</v>
      </c>
      <c r="P55" s="205">
        <f>IFERROR(SUM(D55:O55),0)</f>
        <v>0</v>
      </c>
    </row>
    <row r="56" spans="1:16" ht="21.75" customHeight="1" x14ac:dyDescent="0.2">
      <c r="A56" s="214"/>
      <c r="B56" s="215" t="s">
        <v>360</v>
      </c>
      <c r="C56" s="214"/>
      <c r="D56" s="216">
        <f t="shared" ref="D56:O56" si="10">IFERROR(SUM(D52:D55),0)</f>
        <v>70.063485015000012</v>
      </c>
      <c r="E56" s="216">
        <f t="shared" si="10"/>
        <v>66.044194502475705</v>
      </c>
      <c r="F56" s="216">
        <f t="shared" si="10"/>
        <v>75.719048502270212</v>
      </c>
      <c r="G56" s="216">
        <f t="shared" si="10"/>
        <v>78.523882069568472</v>
      </c>
      <c r="H56" s="216">
        <f t="shared" si="10"/>
        <v>84.896009646062609</v>
      </c>
      <c r="I56" s="216">
        <f t="shared" si="10"/>
        <v>84.752760704828347</v>
      </c>
      <c r="J56" s="216">
        <f t="shared" si="10"/>
        <v>84.261080152822998</v>
      </c>
      <c r="K56" s="216">
        <f t="shared" si="10"/>
        <v>78.789622969503725</v>
      </c>
      <c r="L56" s="216">
        <f t="shared" si="10"/>
        <v>71.884696269066865</v>
      </c>
      <c r="M56" s="216">
        <f t="shared" si="10"/>
        <v>70.602475536357531</v>
      </c>
      <c r="N56" s="216">
        <f t="shared" si="10"/>
        <v>66.937864182351163</v>
      </c>
      <c r="O56" s="216">
        <f t="shared" si="10"/>
        <v>76.409105368274467</v>
      </c>
      <c r="P56" s="216">
        <f>IFERROR(SUM(D56:O56),0)</f>
        <v>908.88422491858216</v>
      </c>
    </row>
  </sheetData>
  <mergeCells count="15">
    <mergeCell ref="C46:E46"/>
    <mergeCell ref="C22:E22"/>
    <mergeCell ref="C8:E8"/>
    <mergeCell ref="C18:E18"/>
    <mergeCell ref="C6:E6"/>
    <mergeCell ref="C35:E35"/>
    <mergeCell ref="C7:E7"/>
    <mergeCell ref="C21:E21"/>
    <mergeCell ref="C34:E34"/>
    <mergeCell ref="C32:E32"/>
    <mergeCell ref="C33:E33"/>
    <mergeCell ref="C44:E44"/>
    <mergeCell ref="C20:E20"/>
    <mergeCell ref="C19:E19"/>
    <mergeCell ref="C45:E45"/>
  </mergeCells>
  <pageMargins left="0.75" right="0.75" top="1" bottom="1" header="0.511811023622047" footer="0.511811023622047"/>
  <pageSetup paperSize="9" orientation="portrait" horizontalDpi="300" verticalDpi="300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34"/>
  <sheetViews>
    <sheetView showGridLines="0"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/>
    </sheetView>
  </sheetViews>
  <sheetFormatPr baseColWidth="10" defaultColWidth="8.6640625" defaultRowHeight="15" x14ac:dyDescent="0.2"/>
  <cols>
    <col min="1" max="1" width="5" customWidth="1"/>
    <col min="2" max="2" width="84.1640625" bestFit="1" customWidth="1"/>
    <col min="3" max="3" width="12" customWidth="1"/>
    <col min="4" max="14" width="10" customWidth="1"/>
    <col min="15" max="15" width="12" customWidth="1"/>
    <col min="16" max="16" width="16" customWidth="1"/>
  </cols>
  <sheetData>
    <row r="1" spans="1:16" ht="27.75" customHeight="1" thickBot="1" x14ac:dyDescent="0.25">
      <c r="A1" s="59" t="s">
        <v>361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</row>
    <row r="2" spans="1:16" ht="13.5" customHeight="1" x14ac:dyDescent="0.2">
      <c r="A2" s="61" t="s">
        <v>362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</row>
    <row r="3" spans="1:16" ht="7.5" customHeight="1" x14ac:dyDescent="0.2">
      <c r="A3" s="265"/>
      <c r="B3" s="265"/>
      <c r="C3" s="265"/>
      <c r="D3" s="265"/>
      <c r="E3" s="265"/>
      <c r="F3" s="265"/>
      <c r="G3" s="265"/>
      <c r="H3" s="265"/>
      <c r="I3" s="265"/>
      <c r="J3" s="265"/>
      <c r="K3" s="265"/>
      <c r="L3" s="265"/>
      <c r="M3" s="265"/>
      <c r="N3" s="265"/>
      <c r="O3" s="265"/>
      <c r="P3" s="265"/>
    </row>
    <row r="4" spans="1:16" ht="24" customHeight="1" x14ac:dyDescent="0.2">
      <c r="A4" s="101"/>
      <c r="B4" s="101" t="s">
        <v>363</v>
      </c>
      <c r="C4" s="101" t="s">
        <v>364</v>
      </c>
      <c r="D4" s="102" t="s">
        <v>19</v>
      </c>
      <c r="E4" s="102" t="s">
        <v>20</v>
      </c>
      <c r="F4" s="102" t="s">
        <v>21</v>
      </c>
      <c r="G4" s="102" t="s">
        <v>22</v>
      </c>
      <c r="H4" s="102" t="s">
        <v>23</v>
      </c>
      <c r="I4" s="102" t="s">
        <v>24</v>
      </c>
      <c r="J4" s="102" t="s">
        <v>25</v>
      </c>
      <c r="K4" s="102" t="s">
        <v>26</v>
      </c>
      <c r="L4" s="102" t="s">
        <v>27</v>
      </c>
      <c r="M4" s="102" t="s">
        <v>28</v>
      </c>
      <c r="N4" s="102" t="s">
        <v>29</v>
      </c>
      <c r="O4" s="102" t="s">
        <v>30</v>
      </c>
      <c r="P4" s="101" t="s">
        <v>180</v>
      </c>
    </row>
    <row r="5" spans="1:16" ht="15.75" customHeight="1" x14ac:dyDescent="0.2">
      <c r="A5" s="89" t="s">
        <v>365</v>
      </c>
      <c r="B5" s="280"/>
      <c r="C5" s="280"/>
      <c r="D5" s="280"/>
      <c r="E5" s="280"/>
      <c r="F5" s="280"/>
      <c r="G5" s="280"/>
      <c r="H5" s="280"/>
      <c r="I5" s="280"/>
      <c r="J5" s="280"/>
      <c r="K5" s="280"/>
      <c r="L5" s="280"/>
      <c r="M5" s="280"/>
      <c r="N5" s="280"/>
      <c r="O5" s="280"/>
      <c r="P5" s="280"/>
    </row>
    <row r="6" spans="1:16" ht="19.5" customHeight="1" x14ac:dyDescent="0.2">
      <c r="B6" s="291" t="s">
        <v>366</v>
      </c>
      <c r="C6" s="285" t="s">
        <v>367</v>
      </c>
      <c r="D6" s="286">
        <f>'💧 Sayaç Verileri (T1)'!D15</f>
        <v>6650</v>
      </c>
      <c r="E6" s="286">
        <f>'💧 Sayaç Verileri (T1)'!E15</f>
        <v>6020</v>
      </c>
      <c r="F6" s="286">
        <f>'💧 Sayaç Verileri (T1)'!F15</f>
        <v>6430</v>
      </c>
      <c r="G6" s="286">
        <f>'💧 Sayaç Verileri (T1)'!G15</f>
        <v>6700</v>
      </c>
      <c r="H6" s="286">
        <f>'💧 Sayaç Verileri (T1)'!H15</f>
        <v>6880</v>
      </c>
      <c r="I6" s="286">
        <f>'💧 Sayaç Verileri (T1)'!I15</f>
        <v>7370</v>
      </c>
      <c r="J6" s="286">
        <f>'💧 Sayaç Verileri (T1)'!J15</f>
        <v>7900</v>
      </c>
      <c r="K6" s="286">
        <f>'💧 Sayaç Verileri (T1)'!K15</f>
        <v>8050</v>
      </c>
      <c r="L6" s="286">
        <f>'💧 Sayaç Verileri (T1)'!L15</f>
        <v>7550</v>
      </c>
      <c r="M6" s="286">
        <f>'💧 Sayaç Verileri (T1)'!M15</f>
        <v>7420</v>
      </c>
      <c r="N6" s="286">
        <f>'💧 Sayaç Verileri (T1)'!N15</f>
        <v>7030</v>
      </c>
      <c r="O6" s="286">
        <f>'💧 Sayaç Verileri (T1)'!O15</f>
        <v>7000</v>
      </c>
      <c r="P6" s="294">
        <f>IFERROR(SUM(D6:O6),0)</f>
        <v>85000</v>
      </c>
    </row>
    <row r="7" spans="1:16" ht="19.5" customHeight="1" x14ac:dyDescent="0.2">
      <c r="B7" s="292" t="s">
        <v>368</v>
      </c>
      <c r="C7" s="287" t="s">
        <v>369</v>
      </c>
      <c r="D7" s="288">
        <f>0</f>
        <v>0</v>
      </c>
      <c r="E7" s="288">
        <f>0</f>
        <v>0</v>
      </c>
      <c r="F7" s="288">
        <f>0</f>
        <v>0</v>
      </c>
      <c r="G7" s="288">
        <f>0</f>
        <v>0</v>
      </c>
      <c r="H7" s="288">
        <f>0</f>
        <v>0</v>
      </c>
      <c r="I7" s="288">
        <f>0</f>
        <v>0</v>
      </c>
      <c r="J7" s="288">
        <f>0</f>
        <v>0</v>
      </c>
      <c r="K7" s="288">
        <f>0</f>
        <v>0</v>
      </c>
      <c r="L7" s="288">
        <f>0</f>
        <v>0</v>
      </c>
      <c r="M7" s="288">
        <f>0</f>
        <v>0</v>
      </c>
      <c r="N7" s="288">
        <f>0</f>
        <v>0</v>
      </c>
      <c r="O7" s="288">
        <f>0</f>
        <v>0</v>
      </c>
      <c r="P7" s="242">
        <f>IFERROR(SUM(D7:O7),0)</f>
        <v>0</v>
      </c>
    </row>
    <row r="8" spans="1:16" ht="19.5" customHeight="1" x14ac:dyDescent="0.2">
      <c r="B8" s="293" t="s">
        <v>370</v>
      </c>
      <c r="C8" s="289" t="s">
        <v>371</v>
      </c>
      <c r="D8" s="290">
        <f>0</f>
        <v>0</v>
      </c>
      <c r="E8" s="290">
        <f>0</f>
        <v>0</v>
      </c>
      <c r="F8" s="290">
        <f>0</f>
        <v>0</v>
      </c>
      <c r="G8" s="290">
        <f>0</f>
        <v>0</v>
      </c>
      <c r="H8" s="290">
        <f>0</f>
        <v>0</v>
      </c>
      <c r="I8" s="290">
        <f>0</f>
        <v>0</v>
      </c>
      <c r="J8" s="290">
        <f>0</f>
        <v>0</v>
      </c>
      <c r="K8" s="290">
        <f>0</f>
        <v>0</v>
      </c>
      <c r="L8" s="290">
        <f>0</f>
        <v>0</v>
      </c>
      <c r="M8" s="290">
        <f>0</f>
        <v>0</v>
      </c>
      <c r="N8" s="290">
        <f>0</f>
        <v>0</v>
      </c>
      <c r="O8" s="290">
        <f>0</f>
        <v>0</v>
      </c>
      <c r="P8" s="295">
        <f>IFERROR(SUM(D8:O8),0)</f>
        <v>0</v>
      </c>
    </row>
    <row r="9" spans="1:16" ht="21.75" customHeight="1" x14ac:dyDescent="0.2">
      <c r="A9" s="266"/>
      <c r="B9" s="281" t="s">
        <v>372</v>
      </c>
      <c r="C9" s="282"/>
      <c r="D9" s="283">
        <f t="shared" ref="D9:O9" si="0">IFERROR(D6+D7+D8,0)</f>
        <v>6650</v>
      </c>
      <c r="E9" s="283">
        <f t="shared" si="0"/>
        <v>6020</v>
      </c>
      <c r="F9" s="283">
        <f t="shared" si="0"/>
        <v>6430</v>
      </c>
      <c r="G9" s="283">
        <f t="shared" si="0"/>
        <v>6700</v>
      </c>
      <c r="H9" s="283">
        <f t="shared" si="0"/>
        <v>6880</v>
      </c>
      <c r="I9" s="283">
        <f t="shared" si="0"/>
        <v>7370</v>
      </c>
      <c r="J9" s="283">
        <f t="shared" si="0"/>
        <v>7900</v>
      </c>
      <c r="K9" s="283">
        <f t="shared" si="0"/>
        <v>8050</v>
      </c>
      <c r="L9" s="283">
        <f t="shared" si="0"/>
        <v>7550</v>
      </c>
      <c r="M9" s="283">
        <f t="shared" si="0"/>
        <v>7420</v>
      </c>
      <c r="N9" s="283">
        <f t="shared" si="0"/>
        <v>7030</v>
      </c>
      <c r="O9" s="283">
        <f t="shared" si="0"/>
        <v>7000</v>
      </c>
      <c r="P9" s="284">
        <f>IFERROR(SUM(D9:O9),0)</f>
        <v>85000</v>
      </c>
    </row>
    <row r="10" spans="1:16" x14ac:dyDescent="0.2">
      <c r="A10" s="267"/>
      <c r="B10" s="267"/>
      <c r="C10" s="267"/>
      <c r="D10" s="267"/>
      <c r="E10" s="267"/>
      <c r="F10" s="267"/>
      <c r="G10" s="267"/>
      <c r="H10" s="267"/>
      <c r="I10" s="267"/>
      <c r="J10" s="267"/>
      <c r="K10" s="267"/>
      <c r="L10" s="267"/>
      <c r="M10" s="267"/>
      <c r="N10" s="267"/>
      <c r="O10" s="267"/>
      <c r="P10" s="267"/>
    </row>
    <row r="11" spans="1:16" ht="15.75" customHeight="1" x14ac:dyDescent="0.2">
      <c r="A11" s="97" t="s">
        <v>373</v>
      </c>
      <c r="B11" s="296"/>
      <c r="C11" s="296"/>
      <c r="D11" s="296"/>
      <c r="E11" s="296"/>
      <c r="F11" s="296"/>
      <c r="G11" s="296"/>
      <c r="H11" s="296"/>
      <c r="I11" s="296"/>
      <c r="J11" s="296"/>
      <c r="K11" s="296"/>
      <c r="L11" s="296"/>
      <c r="M11" s="296"/>
      <c r="N11" s="296"/>
      <c r="O11" s="296"/>
      <c r="P11" s="296"/>
    </row>
    <row r="12" spans="1:16" ht="19.5" customHeight="1" x14ac:dyDescent="0.2">
      <c r="B12" s="307" t="s">
        <v>374</v>
      </c>
      <c r="C12" s="301" t="s">
        <v>367</v>
      </c>
      <c r="D12" s="302">
        <f>'💧 Sayaç Verileri (T1)'!D28</f>
        <v>5609</v>
      </c>
      <c r="E12" s="302">
        <f>'💧 Sayaç Verileri (T1)'!E28</f>
        <v>5072</v>
      </c>
      <c r="F12" s="302">
        <f>'💧 Sayaç Verileri (T1)'!F28</f>
        <v>5462</v>
      </c>
      <c r="G12" s="302">
        <f>'💧 Sayaç Verileri (T1)'!G28</f>
        <v>5700</v>
      </c>
      <c r="H12" s="302">
        <f>'💧 Sayaç Verileri (T1)'!H28</f>
        <v>5874</v>
      </c>
      <c r="I12" s="302">
        <f>'💧 Sayaç Verileri (T1)'!I28</f>
        <v>6309</v>
      </c>
      <c r="J12" s="302">
        <f>'💧 Sayaç Verileri (T1)'!J28</f>
        <v>6766</v>
      </c>
      <c r="K12" s="302">
        <f>'💧 Sayaç Verileri (T1)'!K28</f>
        <v>6887</v>
      </c>
      <c r="L12" s="302">
        <f>'💧 Sayaç Verileri (T1)'!L28</f>
        <v>6435</v>
      </c>
      <c r="M12" s="302">
        <f>'💧 Sayaç Verileri (T1)'!M28</f>
        <v>6300</v>
      </c>
      <c r="N12" s="302">
        <f>'💧 Sayaç Verileri (T1)'!N28</f>
        <v>5945</v>
      </c>
      <c r="O12" s="302">
        <f>'💧 Sayaç Verileri (T1)'!O28</f>
        <v>5891</v>
      </c>
      <c r="P12" s="309">
        <f>IFERROR(SUM(D12:O12),0)</f>
        <v>72250</v>
      </c>
    </row>
    <row r="13" spans="1:16" ht="19.5" customHeight="1" x14ac:dyDescent="0.2">
      <c r="B13" s="248" t="s">
        <v>375</v>
      </c>
      <c r="C13" s="303" t="s">
        <v>369</v>
      </c>
      <c r="D13" s="304">
        <f>'🔧 Ekipman Listesi (T2)'!I49</f>
        <v>284</v>
      </c>
      <c r="E13" s="304">
        <f>'🔧 Ekipman Listesi (T2)'!J49</f>
        <v>272</v>
      </c>
      <c r="F13" s="304">
        <f>'🔧 Ekipman Listesi (T2)'!K49</f>
        <v>338</v>
      </c>
      <c r="G13" s="304">
        <f>'🔧 Ekipman Listesi (T2)'!L49</f>
        <v>388</v>
      </c>
      <c r="H13" s="304">
        <f>'🔧 Ekipman Listesi (T2)'!M49</f>
        <v>484</v>
      </c>
      <c r="I13" s="304">
        <f>'🔧 Ekipman Listesi (T2)'!N49</f>
        <v>608</v>
      </c>
      <c r="J13" s="304">
        <f>'🔧 Ekipman Listesi (T2)'!O49</f>
        <v>704</v>
      </c>
      <c r="K13" s="304">
        <f>'🔧 Ekipman Listesi (T2)'!P49</f>
        <v>704</v>
      </c>
      <c r="L13" s="304">
        <f>'🔧 Ekipman Listesi (T2)'!Q49</f>
        <v>576</v>
      </c>
      <c r="M13" s="304">
        <f>'🔧 Ekipman Listesi (T2)'!R49</f>
        <v>420</v>
      </c>
      <c r="N13" s="304">
        <f>'🔧 Ekipman Listesi (T2)'!S49</f>
        <v>332</v>
      </c>
      <c r="O13" s="304">
        <f>'🔧 Ekipman Listesi (T2)'!T49</f>
        <v>284</v>
      </c>
      <c r="P13" s="242">
        <f>IFERROR(SUM(D13:O13),0)</f>
        <v>5394</v>
      </c>
    </row>
    <row r="14" spans="1:16" ht="19.5" customHeight="1" x14ac:dyDescent="0.2">
      <c r="B14" s="308" t="s">
        <v>370</v>
      </c>
      <c r="C14" s="305" t="s">
        <v>371</v>
      </c>
      <c r="D14" s="306">
        <f>0</f>
        <v>0</v>
      </c>
      <c r="E14" s="306">
        <f>0</f>
        <v>0</v>
      </c>
      <c r="F14" s="306">
        <f>0</f>
        <v>0</v>
      </c>
      <c r="G14" s="306">
        <f>0</f>
        <v>0</v>
      </c>
      <c r="H14" s="306">
        <f>0</f>
        <v>0</v>
      </c>
      <c r="I14" s="306">
        <f>0</f>
        <v>0</v>
      </c>
      <c r="J14" s="306">
        <f>0</f>
        <v>0</v>
      </c>
      <c r="K14" s="306">
        <f>0</f>
        <v>0</v>
      </c>
      <c r="L14" s="306">
        <f>0</f>
        <v>0</v>
      </c>
      <c r="M14" s="306">
        <f>0</f>
        <v>0</v>
      </c>
      <c r="N14" s="306">
        <f>0</f>
        <v>0</v>
      </c>
      <c r="O14" s="306">
        <f>0</f>
        <v>0</v>
      </c>
      <c r="P14" s="310">
        <f>IFERROR(SUM(D14:O14),0)</f>
        <v>0</v>
      </c>
    </row>
    <row r="15" spans="1:16" ht="21.75" customHeight="1" x14ac:dyDescent="0.2">
      <c r="A15" s="268"/>
      <c r="B15" s="297" t="s">
        <v>376</v>
      </c>
      <c r="C15" s="298"/>
      <c r="D15" s="299">
        <f t="shared" ref="D15:O15" si="1">IFERROR(D12+D13+D14,0)</f>
        <v>5893</v>
      </c>
      <c r="E15" s="299">
        <f t="shared" si="1"/>
        <v>5344</v>
      </c>
      <c r="F15" s="299">
        <f t="shared" si="1"/>
        <v>5800</v>
      </c>
      <c r="G15" s="299">
        <f t="shared" si="1"/>
        <v>6088</v>
      </c>
      <c r="H15" s="299">
        <f t="shared" si="1"/>
        <v>6358</v>
      </c>
      <c r="I15" s="299">
        <f t="shared" si="1"/>
        <v>6917</v>
      </c>
      <c r="J15" s="299">
        <f t="shared" si="1"/>
        <v>7470</v>
      </c>
      <c r="K15" s="299">
        <f t="shared" si="1"/>
        <v>7591</v>
      </c>
      <c r="L15" s="299">
        <f t="shared" si="1"/>
        <v>7011</v>
      </c>
      <c r="M15" s="299">
        <f t="shared" si="1"/>
        <v>6720</v>
      </c>
      <c r="N15" s="299">
        <f t="shared" si="1"/>
        <v>6277</v>
      </c>
      <c r="O15" s="299">
        <f t="shared" si="1"/>
        <v>6175</v>
      </c>
      <c r="P15" s="300">
        <f>IFERROR(SUM(D15:O15),0)</f>
        <v>77644</v>
      </c>
    </row>
    <row r="16" spans="1:16" x14ac:dyDescent="0.2">
      <c r="A16" s="269"/>
      <c r="B16" s="269"/>
      <c r="C16" s="269"/>
      <c r="D16" s="269"/>
      <c r="E16" s="269"/>
      <c r="F16" s="269"/>
      <c r="G16" s="269"/>
      <c r="H16" s="269"/>
      <c r="I16" s="269"/>
      <c r="J16" s="269"/>
      <c r="K16" s="269"/>
      <c r="L16" s="269"/>
      <c r="M16" s="269"/>
      <c r="N16" s="269"/>
      <c r="O16" s="269"/>
      <c r="P16" s="269"/>
    </row>
    <row r="17" spans="1:16" ht="15.75" customHeight="1" x14ac:dyDescent="0.2">
      <c r="A17" s="33" t="s">
        <v>377</v>
      </c>
      <c r="B17" s="64"/>
      <c r="C17" s="64"/>
      <c r="D17" s="64"/>
      <c r="E17" s="64"/>
      <c r="F17" s="64"/>
      <c r="G17" s="64"/>
      <c r="H17" s="64"/>
      <c r="I17" s="64"/>
      <c r="J17" s="64"/>
      <c r="K17" s="64"/>
      <c r="L17" s="64"/>
      <c r="M17" s="64"/>
      <c r="N17" s="64"/>
      <c r="O17" s="64"/>
      <c r="P17" s="64"/>
    </row>
    <row r="18" spans="1:16" ht="19.5" customHeight="1" x14ac:dyDescent="0.2">
      <c r="B18" s="321" t="s">
        <v>378</v>
      </c>
      <c r="C18" s="315" t="s">
        <v>379</v>
      </c>
      <c r="D18" s="316">
        <f>IFERROR('💨 Buharlaşma (ASHRAE)'!D14,0)</f>
        <v>0</v>
      </c>
      <c r="E18" s="316">
        <f>IFERROR('💨 Buharlaşma (ASHRAE)'!E14,0)</f>
        <v>0</v>
      </c>
      <c r="F18" s="316">
        <f>IFERROR('💨 Buharlaşma (ASHRAE)'!F14,0)</f>
        <v>0</v>
      </c>
      <c r="G18" s="316">
        <f>IFERROR('💨 Buharlaşma (ASHRAE)'!G14,0)</f>
        <v>0</v>
      </c>
      <c r="H18" s="316">
        <f>IFERROR('💨 Buharlaşma (ASHRAE)'!H14,0)</f>
        <v>0</v>
      </c>
      <c r="I18" s="316">
        <f>IFERROR('💨 Buharlaşma (ASHRAE)'!I14,0)</f>
        <v>0</v>
      </c>
      <c r="J18" s="316">
        <f>IFERROR('💨 Buharlaşma (ASHRAE)'!J14,0)</f>
        <v>0</v>
      </c>
      <c r="K18" s="316">
        <f>IFERROR('💨 Buharlaşma (ASHRAE)'!K14,0)</f>
        <v>0</v>
      </c>
      <c r="L18" s="316">
        <f>IFERROR('💨 Buharlaşma (ASHRAE)'!L14,0)</f>
        <v>0</v>
      </c>
      <c r="M18" s="316">
        <f>IFERROR('💨 Buharlaşma (ASHRAE)'!M14,0)</f>
        <v>0</v>
      </c>
      <c r="N18" s="316">
        <f>IFERROR('💨 Buharlaşma (ASHRAE)'!N14,0)</f>
        <v>0</v>
      </c>
      <c r="O18" s="316">
        <f>IFERROR('💨 Buharlaşma (ASHRAE)'!O14,0)</f>
        <v>0</v>
      </c>
      <c r="P18" s="323">
        <f>IFERROR(SUM(D18:O18),0)</f>
        <v>0</v>
      </c>
    </row>
    <row r="19" spans="1:16" ht="19.5" customHeight="1" x14ac:dyDescent="0.2">
      <c r="B19" s="220" t="s">
        <v>380</v>
      </c>
      <c r="C19" s="303" t="s">
        <v>379</v>
      </c>
      <c r="D19" s="317">
        <f>IFERROR('💨 Buharlaşma (ASHRAE)'!D28,0)</f>
        <v>67.019520000000014</v>
      </c>
      <c r="E19" s="317">
        <f>IFERROR('💨 Buharlaşma (ASHRAE)'!E28,0)</f>
        <v>60.533760000000001</v>
      </c>
      <c r="F19" s="317">
        <f>IFERROR('💨 Buharlaşma (ASHRAE)'!F28,0)</f>
        <v>67.019520000000014</v>
      </c>
      <c r="G19" s="317">
        <f>IFERROR('💨 Buharlaşma (ASHRAE)'!G28,0)</f>
        <v>64.857599999999991</v>
      </c>
      <c r="H19" s="317">
        <f>IFERROR('💨 Buharlaşma (ASHRAE)'!H28,0)</f>
        <v>67.019520000000014</v>
      </c>
      <c r="I19" s="317">
        <f>IFERROR('💨 Buharlaşma (ASHRAE)'!I28,0)</f>
        <v>64.857599999999991</v>
      </c>
      <c r="J19" s="317">
        <f>IFERROR('💨 Buharlaşma (ASHRAE)'!J28,0)</f>
        <v>67.019520000000014</v>
      </c>
      <c r="K19" s="317">
        <f>IFERROR('💨 Buharlaşma (ASHRAE)'!K28,0)</f>
        <v>67.019520000000014</v>
      </c>
      <c r="L19" s="317">
        <f>IFERROR('💨 Buharlaşma (ASHRAE)'!L28,0)</f>
        <v>64.857599999999991</v>
      </c>
      <c r="M19" s="317">
        <f>IFERROR('💨 Buharlaşma (ASHRAE)'!M28,0)</f>
        <v>67.019520000000014</v>
      </c>
      <c r="N19" s="317">
        <f>IFERROR('💨 Buharlaşma (ASHRAE)'!N28,0)</f>
        <v>64.857599999999991</v>
      </c>
      <c r="O19" s="317">
        <f>IFERROR('💨 Buharlaşma (ASHRAE)'!O28,0)</f>
        <v>67.019520000000014</v>
      </c>
      <c r="P19" s="242">
        <f>IFERROR(SUM(D19:O19),0)</f>
        <v>789.10080000000016</v>
      </c>
    </row>
    <row r="20" spans="1:16" ht="19.5" customHeight="1" x14ac:dyDescent="0.2">
      <c r="B20" s="53" t="s">
        <v>381</v>
      </c>
      <c r="C20" s="303" t="s">
        <v>382</v>
      </c>
      <c r="D20" s="318">
        <f>IFERROR('💨 Buharlaşma (ASHRAE)'!D40,0)</f>
        <v>3.0439650149999995</v>
      </c>
      <c r="E20" s="318">
        <f>IFERROR('💨 Buharlaşma (ASHRAE)'!E40,0)</f>
        <v>5.5104345024757109</v>
      </c>
      <c r="F20" s="318">
        <f>IFERROR('💨 Buharlaşma (ASHRAE)'!F40,0)</f>
        <v>8.6995285022701925</v>
      </c>
      <c r="G20" s="318">
        <f>IFERROR('💨 Buharlaşma (ASHRAE)'!G40,0)</f>
        <v>13.666282069568481</v>
      </c>
      <c r="H20" s="318">
        <f>IFERROR('💨 Buharlaşma (ASHRAE)'!H40,0)</f>
        <v>17.876489646062591</v>
      </c>
      <c r="I20" s="318">
        <f>IFERROR('💨 Buharlaşma (ASHRAE)'!I40,0)</f>
        <v>19.895160704828349</v>
      </c>
      <c r="J20" s="318">
        <f>IFERROR('💨 Buharlaşma (ASHRAE)'!J40,0)</f>
        <v>17.241560152822984</v>
      </c>
      <c r="K20" s="318">
        <f>IFERROR('💨 Buharlaşma (ASHRAE)'!K40,0)</f>
        <v>11.770102969503716</v>
      </c>
      <c r="L20" s="318">
        <f>IFERROR('💨 Buharlaşma (ASHRAE)'!L40,0)</f>
        <v>7.0270962690668801</v>
      </c>
      <c r="M20" s="318">
        <f>IFERROR('💨 Buharlaşma (ASHRAE)'!M40,0)</f>
        <v>3.5829555363575207</v>
      </c>
      <c r="N20" s="318">
        <f>IFERROR('💨 Buharlaşma (ASHRAE)'!N40,0)</f>
        <v>2.0802641823511689</v>
      </c>
      <c r="O20" s="318">
        <f>IFERROR('💨 Buharlaşma (ASHRAE)'!O40,0)</f>
        <v>9.3895853682744495</v>
      </c>
      <c r="P20" s="242">
        <f>IFERROR(SUM(D20:O20),0)</f>
        <v>119.78342491858203</v>
      </c>
    </row>
    <row r="21" spans="1:16" ht="19.5" customHeight="1" x14ac:dyDescent="0.2">
      <c r="B21" s="322" t="s">
        <v>383</v>
      </c>
      <c r="C21" s="319" t="s">
        <v>379</v>
      </c>
      <c r="D21" s="320">
        <f>IFERROR('💨 Buharlaşma (ASHRAE)'!D48,0)</f>
        <v>0</v>
      </c>
      <c r="E21" s="320">
        <f>IFERROR('💨 Buharlaşma (ASHRAE)'!E48,0)</f>
        <v>0</v>
      </c>
      <c r="F21" s="320">
        <f>IFERROR('💨 Buharlaşma (ASHRAE)'!F48,0)</f>
        <v>0</v>
      </c>
      <c r="G21" s="320">
        <f>IFERROR('💨 Buharlaşma (ASHRAE)'!G48,0)</f>
        <v>0</v>
      </c>
      <c r="H21" s="320">
        <f>IFERROR('💨 Buharlaşma (ASHRAE)'!H48,0)</f>
        <v>0</v>
      </c>
      <c r="I21" s="320">
        <f>IFERROR('💨 Buharlaşma (ASHRAE)'!I48,0)</f>
        <v>0</v>
      </c>
      <c r="J21" s="320">
        <f>IFERROR('💨 Buharlaşma (ASHRAE)'!J48,0)</f>
        <v>0</v>
      </c>
      <c r="K21" s="320">
        <f>IFERROR('💨 Buharlaşma (ASHRAE)'!K48,0)</f>
        <v>0</v>
      </c>
      <c r="L21" s="320">
        <f>IFERROR('💨 Buharlaşma (ASHRAE)'!L48,0)</f>
        <v>0</v>
      </c>
      <c r="M21" s="320">
        <f>IFERROR('💨 Buharlaşma (ASHRAE)'!M48,0)</f>
        <v>0</v>
      </c>
      <c r="N21" s="320">
        <f>IFERROR('💨 Buharlaşma (ASHRAE)'!N48,0)</f>
        <v>0</v>
      </c>
      <c r="O21" s="320">
        <f>IFERROR('💨 Buharlaşma (ASHRAE)'!O48,0)</f>
        <v>0</v>
      </c>
      <c r="P21" s="324">
        <f>IFERROR(SUM(D21:O21),0)</f>
        <v>0</v>
      </c>
    </row>
    <row r="22" spans="1:16" ht="21.75" customHeight="1" x14ac:dyDescent="0.2">
      <c r="A22" s="270"/>
      <c r="B22" s="311" t="s">
        <v>360</v>
      </c>
      <c r="C22" s="312"/>
      <c r="D22" s="313">
        <f>IFERROR('💨 Buharlaşma (ASHRAE)'!D56,0)</f>
        <v>70.063485015000012</v>
      </c>
      <c r="E22" s="313">
        <f>IFERROR('💨 Buharlaşma (ASHRAE)'!E56,0)</f>
        <v>66.044194502475705</v>
      </c>
      <c r="F22" s="313">
        <f>IFERROR('💨 Buharlaşma (ASHRAE)'!F56,0)</f>
        <v>75.719048502270212</v>
      </c>
      <c r="G22" s="313">
        <f>IFERROR('💨 Buharlaşma (ASHRAE)'!G56,0)</f>
        <v>78.523882069568472</v>
      </c>
      <c r="H22" s="313">
        <f>IFERROR('💨 Buharlaşma (ASHRAE)'!H56,0)</f>
        <v>84.896009646062609</v>
      </c>
      <c r="I22" s="313">
        <f>IFERROR('💨 Buharlaşma (ASHRAE)'!I56,0)</f>
        <v>84.752760704828347</v>
      </c>
      <c r="J22" s="313">
        <f>IFERROR('💨 Buharlaşma (ASHRAE)'!J56,0)</f>
        <v>84.261080152822998</v>
      </c>
      <c r="K22" s="313">
        <f>IFERROR('💨 Buharlaşma (ASHRAE)'!K56,0)</f>
        <v>78.789622969503725</v>
      </c>
      <c r="L22" s="313">
        <f>IFERROR('💨 Buharlaşma (ASHRAE)'!L56,0)</f>
        <v>71.884696269066865</v>
      </c>
      <c r="M22" s="313">
        <f>IFERROR('💨 Buharlaşma (ASHRAE)'!M56,0)</f>
        <v>70.602475536357531</v>
      </c>
      <c r="N22" s="313">
        <f>IFERROR('💨 Buharlaşma (ASHRAE)'!N56,0)</f>
        <v>66.937864182351163</v>
      </c>
      <c r="O22" s="313">
        <f>IFERROR('💨 Buharlaşma (ASHRAE)'!O56,0)</f>
        <v>76.409105368274467</v>
      </c>
      <c r="P22" s="314">
        <f>IFERROR(SUM(D22:O22),0)</f>
        <v>908.88422491858216</v>
      </c>
    </row>
    <row r="23" spans="1:16" x14ac:dyDescent="0.2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</row>
    <row r="24" spans="1:16" ht="15.75" customHeight="1" x14ac:dyDescent="0.2">
      <c r="A24" s="92" t="s">
        <v>384</v>
      </c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</row>
    <row r="25" spans="1:16" ht="15.75" customHeight="1" x14ac:dyDescent="0.2">
      <c r="A25" s="271"/>
      <c r="B25" s="272" t="s">
        <v>385</v>
      </c>
      <c r="C25" s="271"/>
      <c r="D25" s="271"/>
      <c r="E25" s="271"/>
      <c r="F25" s="271"/>
      <c r="G25" s="271"/>
      <c r="H25" s="271"/>
      <c r="I25" s="271"/>
      <c r="J25" s="271"/>
      <c r="K25" s="271"/>
      <c r="L25" s="271"/>
      <c r="M25" s="271"/>
      <c r="N25" s="271"/>
      <c r="O25" s="271"/>
      <c r="P25" s="271"/>
    </row>
    <row r="26" spans="1:16" ht="21.75" customHeight="1" x14ac:dyDescent="0.2">
      <c r="A26" s="273"/>
      <c r="B26" s="274" t="s">
        <v>386</v>
      </c>
      <c r="C26" s="273"/>
      <c r="D26" s="275">
        <f t="shared" ref="D26:O26" si="2">IFERROR(D9-D15-D22,0)</f>
        <v>686.93651498500003</v>
      </c>
      <c r="E26" s="275">
        <f t="shared" si="2"/>
        <v>609.95580549752435</v>
      </c>
      <c r="F26" s="275">
        <f t="shared" si="2"/>
        <v>554.2809514977298</v>
      </c>
      <c r="G26" s="275">
        <f t="shared" si="2"/>
        <v>533.47611793043154</v>
      </c>
      <c r="H26" s="275">
        <f t="shared" si="2"/>
        <v>437.10399035393738</v>
      </c>
      <c r="I26" s="275">
        <f t="shared" si="2"/>
        <v>368.24723929517165</v>
      </c>
      <c r="J26" s="275">
        <f t="shared" si="2"/>
        <v>345.73891984717699</v>
      </c>
      <c r="K26" s="275">
        <f t="shared" si="2"/>
        <v>380.21037703049626</v>
      </c>
      <c r="L26" s="275">
        <f t="shared" si="2"/>
        <v>467.11530373093314</v>
      </c>
      <c r="M26" s="275">
        <f t="shared" si="2"/>
        <v>629.39752446364241</v>
      </c>
      <c r="N26" s="275">
        <f t="shared" si="2"/>
        <v>686.06213581764882</v>
      </c>
      <c r="O26" s="275">
        <f t="shared" si="2"/>
        <v>748.59089463172552</v>
      </c>
      <c r="P26" s="276">
        <f>IFERROR(SUM(D26:O26),0)</f>
        <v>6447.1157750814173</v>
      </c>
    </row>
    <row r="27" spans="1:16" ht="19.5" customHeight="1" x14ac:dyDescent="0.2">
      <c r="A27" s="277"/>
      <c r="B27" s="261" t="s">
        <v>387</v>
      </c>
      <c r="C27" s="278"/>
      <c r="D27" s="279">
        <f t="shared" ref="D27:P27" si="3">IFERROR(D26/D9,0)</f>
        <v>0.10329872405789474</v>
      </c>
      <c r="E27" s="279">
        <f t="shared" si="3"/>
        <v>0.10132156237500405</v>
      </c>
      <c r="F27" s="279">
        <f t="shared" si="3"/>
        <v>8.6202325271808683E-2</v>
      </c>
      <c r="G27" s="279">
        <f t="shared" si="3"/>
        <v>7.9623301183646494E-2</v>
      </c>
      <c r="H27" s="279">
        <f t="shared" si="3"/>
        <v>6.3532556737490892E-2</v>
      </c>
      <c r="I27" s="279">
        <f t="shared" si="3"/>
        <v>4.9965704110606739E-2</v>
      </c>
      <c r="J27" s="279">
        <f t="shared" si="3"/>
        <v>4.3764420233819872E-2</v>
      </c>
      <c r="K27" s="279">
        <f t="shared" si="3"/>
        <v>4.7231102736707609E-2</v>
      </c>
      <c r="L27" s="279">
        <f t="shared" si="3"/>
        <v>6.1869576653103726E-2</v>
      </c>
      <c r="M27" s="279">
        <f t="shared" si="3"/>
        <v>8.4824464213428902E-2</v>
      </c>
      <c r="N27" s="279">
        <f t="shared" si="3"/>
        <v>9.7590630984018323E-2</v>
      </c>
      <c r="O27" s="279">
        <f t="shared" si="3"/>
        <v>0.10694155637596078</v>
      </c>
      <c r="P27" s="279">
        <f t="shared" si="3"/>
        <v>7.5848420883310785E-2</v>
      </c>
    </row>
    <row r="29" spans="1:16" ht="15.75" customHeight="1" x14ac:dyDescent="0.2">
      <c r="A29" s="20" t="s">
        <v>388</v>
      </c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</row>
    <row r="30" spans="1:16" ht="15.75" customHeight="1" x14ac:dyDescent="0.2">
      <c r="A30" s="204"/>
      <c r="B30" s="234" t="s">
        <v>389</v>
      </c>
      <c r="C30" s="235"/>
      <c r="D30" s="235"/>
      <c r="E30" s="235"/>
      <c r="F30" s="235"/>
      <c r="G30" s="235"/>
      <c r="H30" s="235"/>
      <c r="I30" s="235"/>
      <c r="J30" s="235"/>
      <c r="K30" s="235"/>
      <c r="L30" s="235"/>
      <c r="M30" s="235"/>
      <c r="N30" s="235"/>
      <c r="O30" s="235"/>
      <c r="P30" s="235"/>
    </row>
    <row r="31" spans="1:16" ht="19.5" customHeight="1" x14ac:dyDescent="0.2">
      <c r="B31" s="329" t="s">
        <v>390</v>
      </c>
      <c r="C31" s="325" t="s">
        <v>391</v>
      </c>
      <c r="D31" s="326">
        <f t="shared" ref="D31:O31" si="4">IFERROR(D9,0)</f>
        <v>6650</v>
      </c>
      <c r="E31" s="326">
        <f t="shared" si="4"/>
        <v>6020</v>
      </c>
      <c r="F31" s="326">
        <f t="shared" si="4"/>
        <v>6430</v>
      </c>
      <c r="G31" s="326">
        <f t="shared" si="4"/>
        <v>6700</v>
      </c>
      <c r="H31" s="326">
        <f t="shared" si="4"/>
        <v>6880</v>
      </c>
      <c r="I31" s="326">
        <f t="shared" si="4"/>
        <v>7370</v>
      </c>
      <c r="J31" s="326">
        <f t="shared" si="4"/>
        <v>7900</v>
      </c>
      <c r="K31" s="326">
        <f t="shared" si="4"/>
        <v>8050</v>
      </c>
      <c r="L31" s="326">
        <f t="shared" si="4"/>
        <v>7550</v>
      </c>
      <c r="M31" s="326">
        <f t="shared" si="4"/>
        <v>7420</v>
      </c>
      <c r="N31" s="326">
        <f t="shared" si="4"/>
        <v>7030</v>
      </c>
      <c r="O31" s="326">
        <f t="shared" si="4"/>
        <v>7000</v>
      </c>
      <c r="P31" s="332">
        <f>IFERROR(SUM(D31:O31),0)</f>
        <v>85000</v>
      </c>
    </row>
    <row r="32" spans="1:16" ht="19.5" customHeight="1" x14ac:dyDescent="0.2">
      <c r="B32" s="330" t="s">
        <v>392</v>
      </c>
      <c r="C32" s="303" t="s">
        <v>391</v>
      </c>
      <c r="D32" s="253">
        <v>250</v>
      </c>
      <c r="E32" s="253">
        <v>220</v>
      </c>
      <c r="F32" s="253">
        <v>280</v>
      </c>
      <c r="G32" s="253">
        <v>300</v>
      </c>
      <c r="H32" s="253">
        <v>330</v>
      </c>
      <c r="I32" s="253">
        <v>370</v>
      </c>
      <c r="J32" s="253">
        <v>400</v>
      </c>
      <c r="K32" s="253">
        <v>400</v>
      </c>
      <c r="L32" s="253">
        <v>350</v>
      </c>
      <c r="M32" s="253">
        <v>320</v>
      </c>
      <c r="N32" s="253">
        <v>280</v>
      </c>
      <c r="O32" s="253">
        <v>250</v>
      </c>
      <c r="P32" s="242">
        <f>IFERROR(SUM(D32:O32),0)</f>
        <v>3750</v>
      </c>
    </row>
    <row r="33" spans="2:16" ht="19.5" customHeight="1" x14ac:dyDescent="0.2">
      <c r="B33" s="82" t="s">
        <v>393</v>
      </c>
      <c r="C33" s="303" t="s">
        <v>391</v>
      </c>
      <c r="D33" s="241">
        <f t="shared" ref="D33:O33" si="5">IFERROR(D31-D32,0)</f>
        <v>6400</v>
      </c>
      <c r="E33" s="241">
        <f t="shared" si="5"/>
        <v>5800</v>
      </c>
      <c r="F33" s="241">
        <f t="shared" si="5"/>
        <v>6150</v>
      </c>
      <c r="G33" s="241">
        <f t="shared" si="5"/>
        <v>6400</v>
      </c>
      <c r="H33" s="241">
        <f t="shared" si="5"/>
        <v>6550</v>
      </c>
      <c r="I33" s="241">
        <f t="shared" si="5"/>
        <v>7000</v>
      </c>
      <c r="J33" s="241">
        <f t="shared" si="5"/>
        <v>7500</v>
      </c>
      <c r="K33" s="241">
        <f t="shared" si="5"/>
        <v>7650</v>
      </c>
      <c r="L33" s="241">
        <f t="shared" si="5"/>
        <v>7200</v>
      </c>
      <c r="M33" s="241">
        <f t="shared" si="5"/>
        <v>7100</v>
      </c>
      <c r="N33" s="241">
        <f t="shared" si="5"/>
        <v>6750</v>
      </c>
      <c r="O33" s="241">
        <f t="shared" si="5"/>
        <v>6750</v>
      </c>
      <c r="P33" s="242">
        <f>IFERROR(SUM(D33:O33),0)</f>
        <v>81250</v>
      </c>
    </row>
    <row r="34" spans="2:16" ht="19.5" customHeight="1" x14ac:dyDescent="0.2">
      <c r="B34" s="331" t="s">
        <v>394</v>
      </c>
      <c r="C34" s="327" t="s">
        <v>391</v>
      </c>
      <c r="D34" s="328">
        <f t="shared" ref="D34:O34" si="6">IFERROR(D22,0)</f>
        <v>70.063485015000012</v>
      </c>
      <c r="E34" s="328">
        <f t="shared" si="6"/>
        <v>66.044194502475705</v>
      </c>
      <c r="F34" s="328">
        <f t="shared" si="6"/>
        <v>75.719048502270212</v>
      </c>
      <c r="G34" s="328">
        <f t="shared" si="6"/>
        <v>78.523882069568472</v>
      </c>
      <c r="H34" s="328">
        <f t="shared" si="6"/>
        <v>84.896009646062609</v>
      </c>
      <c r="I34" s="328">
        <f t="shared" si="6"/>
        <v>84.752760704828347</v>
      </c>
      <c r="J34" s="328">
        <f t="shared" si="6"/>
        <v>84.261080152822998</v>
      </c>
      <c r="K34" s="328">
        <f t="shared" si="6"/>
        <v>78.789622969503725</v>
      </c>
      <c r="L34" s="328">
        <f t="shared" si="6"/>
        <v>71.884696269066865</v>
      </c>
      <c r="M34" s="328">
        <f t="shared" si="6"/>
        <v>70.602475536357531</v>
      </c>
      <c r="N34" s="328">
        <f t="shared" si="6"/>
        <v>66.937864182351163</v>
      </c>
      <c r="O34" s="328">
        <f t="shared" si="6"/>
        <v>76.409105368274467</v>
      </c>
      <c r="P34" s="333">
        <f>IFERROR(SUM(D34:O34),0)</f>
        <v>908.88422491858216</v>
      </c>
    </row>
  </sheetData>
  <conditionalFormatting sqref="D26:O26">
    <cfRule type="expression" dxfId="2" priority="2">
      <formula>D26/D9&lt;0.05</formula>
    </cfRule>
    <cfRule type="expression" dxfId="1" priority="3">
      <formula>AND(D26/D9&gt;=0.05,D26/D9&lt;0.15)</formula>
    </cfRule>
    <cfRule type="expression" dxfId="0" priority="4">
      <formula>D26/D9&gt;=0.15</formula>
    </cfRule>
  </conditionalFormatting>
  <pageMargins left="0.75" right="0.75" top="1" bottom="1" header="0.511811023622047" footer="0.511811023622047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Q48"/>
  <sheetViews>
    <sheetView showGridLines="0" tabSelected="1" zoomScale="86" zoomScaleNormal="100" workbookViewId="0"/>
  </sheetViews>
  <sheetFormatPr baseColWidth="10" defaultColWidth="8.6640625" defaultRowHeight="15" x14ac:dyDescent="0.2"/>
  <cols>
    <col min="1" max="1" width="5" customWidth="1"/>
    <col min="2" max="2" width="20" customWidth="1"/>
    <col min="3" max="8" width="14" customWidth="1"/>
    <col min="9" max="13" width="12" customWidth="1"/>
    <col min="14" max="14" width="14" customWidth="1"/>
    <col min="15" max="16" width="12" customWidth="1"/>
  </cols>
  <sheetData>
    <row r="1" spans="1:17" ht="27.75" customHeight="1" thickBot="1" x14ac:dyDescent="0.25">
      <c r="A1" s="59" t="s">
        <v>0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</row>
    <row r="2" spans="1:17" ht="13.5" customHeight="1" x14ac:dyDescent="0.2">
      <c r="A2" s="61" t="s">
        <v>1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</row>
    <row r="3" spans="1:17" ht="7.5" customHeight="1" x14ac:dyDescent="0.2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</row>
    <row r="4" spans="1:17" ht="15.75" customHeight="1" x14ac:dyDescent="0.2">
      <c r="A4" s="20" t="s">
        <v>2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</row>
    <row r="5" spans="1:17" ht="18" customHeight="1" x14ac:dyDescent="0.2">
      <c r="B5" s="344" t="s">
        <v>3</v>
      </c>
      <c r="C5" s="334"/>
      <c r="D5" s="334"/>
      <c r="E5" s="334"/>
      <c r="F5" s="335" t="s">
        <v>4</v>
      </c>
      <c r="G5" s="336"/>
      <c r="H5" s="336"/>
      <c r="I5" s="336"/>
      <c r="J5" s="337" t="s">
        <v>5</v>
      </c>
      <c r="K5" s="338"/>
      <c r="L5" s="338"/>
      <c r="M5" s="338"/>
      <c r="N5" s="339" t="s">
        <v>6</v>
      </c>
      <c r="O5" s="340"/>
      <c r="P5" s="340"/>
      <c r="Q5" s="340"/>
    </row>
    <row r="6" spans="1:17" ht="18" customHeight="1" x14ac:dyDescent="0.2">
      <c r="B6" s="378">
        <f>'⚖ Denge Tablosu'!P9</f>
        <v>85000</v>
      </c>
      <c r="C6" s="368"/>
      <c r="D6" s="368"/>
      <c r="E6" s="369"/>
      <c r="F6" s="367">
        <f>'⚖ Denge Tablosu'!P15</f>
        <v>77644</v>
      </c>
      <c r="G6" s="368"/>
      <c r="H6" s="368"/>
      <c r="I6" s="369"/>
      <c r="J6" s="376">
        <f>'⚖ Denge Tablosu'!P22</f>
        <v>908.88422491858216</v>
      </c>
      <c r="K6" s="368"/>
      <c r="L6" s="368"/>
      <c r="M6" s="369"/>
      <c r="N6" s="377">
        <f>'⚖ Denge Tablosu'!P26</f>
        <v>6447.1157750814173</v>
      </c>
      <c r="O6" s="368"/>
      <c r="P6" s="368"/>
      <c r="Q6" s="369"/>
    </row>
    <row r="7" spans="1:17" ht="18" customHeight="1" x14ac:dyDescent="0.2">
      <c r="B7" s="370"/>
      <c r="C7" s="371"/>
      <c r="D7" s="371"/>
      <c r="E7" s="372"/>
      <c r="F7" s="370"/>
      <c r="G7" s="371"/>
      <c r="H7" s="371"/>
      <c r="I7" s="372"/>
      <c r="J7" s="370"/>
      <c r="K7" s="371"/>
      <c r="L7" s="371"/>
      <c r="M7" s="372"/>
      <c r="N7" s="370"/>
      <c r="O7" s="371"/>
      <c r="P7" s="371"/>
      <c r="Q7" s="372"/>
    </row>
    <row r="8" spans="1:17" ht="18" customHeight="1" x14ac:dyDescent="0.2">
      <c r="B8" s="334"/>
      <c r="C8" s="334"/>
      <c r="D8" s="334"/>
      <c r="E8" s="341" t="s">
        <v>7</v>
      </c>
      <c r="F8" s="336"/>
      <c r="G8" s="336"/>
      <c r="H8" s="336"/>
      <c r="I8" s="342" t="s">
        <v>7</v>
      </c>
      <c r="J8" s="338"/>
      <c r="K8" s="338"/>
      <c r="L8" s="338"/>
      <c r="M8" s="343" t="s">
        <v>7</v>
      </c>
      <c r="N8" s="340"/>
      <c r="O8" s="340"/>
      <c r="P8" s="340"/>
      <c r="Q8" s="345" t="s">
        <v>7</v>
      </c>
    </row>
    <row r="10" spans="1:17" ht="18" customHeight="1" x14ac:dyDescent="0.2">
      <c r="B10" s="351" t="s">
        <v>8</v>
      </c>
      <c r="C10" s="346"/>
      <c r="D10" s="346"/>
      <c r="E10" s="346"/>
      <c r="F10" s="347" t="s">
        <v>9</v>
      </c>
      <c r="G10" s="348"/>
      <c r="H10" s="348"/>
      <c r="I10" s="348"/>
      <c r="J10" s="339" t="s">
        <v>10</v>
      </c>
      <c r="K10" s="340"/>
      <c r="L10" s="340"/>
      <c r="M10" s="340"/>
      <c r="N10" s="337" t="s">
        <v>11</v>
      </c>
      <c r="O10" s="338"/>
      <c r="P10" s="338"/>
      <c r="Q10" s="338"/>
    </row>
    <row r="11" spans="1:17" ht="18" customHeight="1" x14ac:dyDescent="0.2">
      <c r="B11" s="375">
        <f>'⚖ Denge Tablosu'!P33</f>
        <v>81250</v>
      </c>
      <c r="C11" s="368"/>
      <c r="D11" s="368"/>
      <c r="E11" s="369"/>
      <c r="F11" s="379">
        <f>IFERROR('⚖ Denge Tablosu'!P15/'⚖ Denge Tablosu'!P9,0)</f>
        <v>0.91345882352941177</v>
      </c>
      <c r="G11" s="368"/>
      <c r="H11" s="368"/>
      <c r="I11" s="369"/>
      <c r="J11" s="373">
        <f>IFERROR('⚖ Denge Tablosu'!P26/'⚖ Denge Tablosu'!P9,0)</f>
        <v>7.5848420883310785E-2</v>
      </c>
      <c r="K11" s="368"/>
      <c r="L11" s="368"/>
      <c r="M11" s="369"/>
      <c r="N11" s="374">
        <f>IFERROR('⚖ Denge Tablosu'!P22/'⚖ Denge Tablosu'!P9,0)</f>
        <v>1.0692755587277437E-2</v>
      </c>
      <c r="O11" s="368"/>
      <c r="P11" s="368"/>
      <c r="Q11" s="369"/>
    </row>
    <row r="12" spans="1:17" ht="18" customHeight="1" x14ac:dyDescent="0.2">
      <c r="B12" s="370"/>
      <c r="C12" s="371"/>
      <c r="D12" s="371"/>
      <c r="E12" s="372"/>
      <c r="F12" s="370"/>
      <c r="G12" s="371"/>
      <c r="H12" s="371"/>
      <c r="I12" s="372"/>
      <c r="J12" s="370"/>
      <c r="K12" s="371"/>
      <c r="L12" s="371"/>
      <c r="M12" s="372"/>
      <c r="N12" s="370"/>
      <c r="O12" s="371"/>
      <c r="P12" s="371"/>
      <c r="Q12" s="372"/>
    </row>
    <row r="13" spans="1:17" ht="18" customHeight="1" x14ac:dyDescent="0.2">
      <c r="B13" s="346"/>
      <c r="C13" s="346"/>
      <c r="D13" s="346"/>
      <c r="E13" s="349" t="s">
        <v>7</v>
      </c>
      <c r="F13" s="348"/>
      <c r="G13" s="348"/>
      <c r="H13" s="348"/>
      <c r="I13" s="350" t="s">
        <v>12</v>
      </c>
      <c r="J13" s="340"/>
      <c r="K13" s="340"/>
      <c r="L13" s="340"/>
      <c r="M13" s="345" t="s">
        <v>12</v>
      </c>
      <c r="N13" s="338"/>
      <c r="O13" s="338"/>
      <c r="P13" s="338"/>
      <c r="Q13" s="343" t="s">
        <v>12</v>
      </c>
    </row>
    <row r="17" spans="1:16" ht="7.5" customHeight="1" x14ac:dyDescent="0.2"/>
    <row r="18" spans="1:16" ht="15.75" customHeight="1" x14ac:dyDescent="0.2">
      <c r="A18" s="92" t="s">
        <v>13</v>
      </c>
      <c r="B18" s="25"/>
      <c r="C18" s="25"/>
      <c r="D18" s="25"/>
      <c r="E18" s="25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</row>
    <row r="19" spans="1:16" ht="21.75" customHeight="1" x14ac:dyDescent="0.2">
      <c r="A19" s="352" t="s">
        <v>14</v>
      </c>
      <c r="B19" s="352" t="s">
        <v>15</v>
      </c>
      <c r="C19" s="352" t="s">
        <v>16</v>
      </c>
      <c r="D19" s="352" t="s">
        <v>17</v>
      </c>
      <c r="E19" s="352" t="s">
        <v>18</v>
      </c>
    </row>
    <row r="20" spans="1:16" ht="18" customHeight="1" x14ac:dyDescent="0.2">
      <c r="A20" s="356" t="s">
        <v>19</v>
      </c>
      <c r="B20" s="353">
        <f>'⚖ Denge Tablosu'!D9</f>
        <v>6650</v>
      </c>
      <c r="C20" s="353">
        <f>'⚖ Denge Tablosu'!D15</f>
        <v>5893</v>
      </c>
      <c r="D20" s="353">
        <f>'⚖ Denge Tablosu'!D22</f>
        <v>70.063485015000012</v>
      </c>
      <c r="E20" s="353">
        <f>IFERROR('⚖ Denge Tablosu'!D26,0)</f>
        <v>686.93651498500003</v>
      </c>
    </row>
    <row r="21" spans="1:16" ht="18" customHeight="1" x14ac:dyDescent="0.2">
      <c r="A21" s="357" t="s">
        <v>20</v>
      </c>
      <c r="B21" s="354">
        <f>'⚖ Denge Tablosu'!E9</f>
        <v>6020</v>
      </c>
      <c r="C21" s="354">
        <f>'⚖ Denge Tablosu'!E15</f>
        <v>5344</v>
      </c>
      <c r="D21" s="354">
        <f>'⚖ Denge Tablosu'!E22</f>
        <v>66.044194502475705</v>
      </c>
      <c r="E21" s="354">
        <f>IFERROR('⚖ Denge Tablosu'!E26,0)</f>
        <v>609.95580549752435</v>
      </c>
    </row>
    <row r="22" spans="1:16" ht="18" customHeight="1" x14ac:dyDescent="0.2">
      <c r="A22" s="357" t="s">
        <v>21</v>
      </c>
      <c r="B22" s="354">
        <f>'⚖ Denge Tablosu'!F9</f>
        <v>6430</v>
      </c>
      <c r="C22" s="354">
        <f>'⚖ Denge Tablosu'!F15</f>
        <v>5800</v>
      </c>
      <c r="D22" s="354">
        <f>'⚖ Denge Tablosu'!F22</f>
        <v>75.719048502270212</v>
      </c>
      <c r="E22" s="354">
        <f>IFERROR('⚖ Denge Tablosu'!F26,0)</f>
        <v>554.2809514977298</v>
      </c>
    </row>
    <row r="23" spans="1:16" ht="18" customHeight="1" x14ac:dyDescent="0.2">
      <c r="A23" s="357" t="s">
        <v>22</v>
      </c>
      <c r="B23" s="354">
        <f>'⚖ Denge Tablosu'!G9</f>
        <v>6700</v>
      </c>
      <c r="C23" s="354">
        <f>'⚖ Denge Tablosu'!G15</f>
        <v>6088</v>
      </c>
      <c r="D23" s="354">
        <f>'⚖ Denge Tablosu'!G22</f>
        <v>78.523882069568472</v>
      </c>
      <c r="E23" s="354">
        <f>IFERROR('⚖ Denge Tablosu'!G26,0)</f>
        <v>533.47611793043154</v>
      </c>
    </row>
    <row r="24" spans="1:16" ht="18" customHeight="1" x14ac:dyDescent="0.2">
      <c r="A24" s="357" t="s">
        <v>23</v>
      </c>
      <c r="B24" s="354">
        <f>'⚖ Denge Tablosu'!H9</f>
        <v>6880</v>
      </c>
      <c r="C24" s="354">
        <f>'⚖ Denge Tablosu'!H15</f>
        <v>6358</v>
      </c>
      <c r="D24" s="354">
        <f>'⚖ Denge Tablosu'!H22</f>
        <v>84.896009646062609</v>
      </c>
      <c r="E24" s="354">
        <f>IFERROR('⚖ Denge Tablosu'!H26,0)</f>
        <v>437.10399035393738</v>
      </c>
    </row>
    <row r="25" spans="1:16" ht="18" customHeight="1" x14ac:dyDescent="0.2">
      <c r="A25" s="357" t="s">
        <v>24</v>
      </c>
      <c r="B25" s="354">
        <f>'⚖ Denge Tablosu'!I9</f>
        <v>7370</v>
      </c>
      <c r="C25" s="354">
        <f>'⚖ Denge Tablosu'!I15</f>
        <v>6917</v>
      </c>
      <c r="D25" s="354">
        <f>'⚖ Denge Tablosu'!I22</f>
        <v>84.752760704828347</v>
      </c>
      <c r="E25" s="354">
        <f>IFERROR('⚖ Denge Tablosu'!I26,0)</f>
        <v>368.24723929517165</v>
      </c>
    </row>
    <row r="26" spans="1:16" ht="18" customHeight="1" x14ac:dyDescent="0.2">
      <c r="A26" s="357" t="s">
        <v>25</v>
      </c>
      <c r="B26" s="354">
        <f>'⚖ Denge Tablosu'!J9</f>
        <v>7900</v>
      </c>
      <c r="C26" s="354">
        <f>'⚖ Denge Tablosu'!J15</f>
        <v>7470</v>
      </c>
      <c r="D26" s="354">
        <f>'⚖ Denge Tablosu'!J22</f>
        <v>84.261080152822998</v>
      </c>
      <c r="E26" s="354">
        <f>IFERROR('⚖ Denge Tablosu'!J26,0)</f>
        <v>345.73891984717699</v>
      </c>
    </row>
    <row r="27" spans="1:16" ht="18" customHeight="1" x14ac:dyDescent="0.2">
      <c r="A27" s="357" t="s">
        <v>26</v>
      </c>
      <c r="B27" s="354">
        <f>'⚖ Denge Tablosu'!K9</f>
        <v>8050</v>
      </c>
      <c r="C27" s="354">
        <f>'⚖ Denge Tablosu'!K15</f>
        <v>7591</v>
      </c>
      <c r="D27" s="354">
        <f>'⚖ Denge Tablosu'!K22</f>
        <v>78.789622969503725</v>
      </c>
      <c r="E27" s="354">
        <f>IFERROR('⚖ Denge Tablosu'!K26,0)</f>
        <v>380.21037703049626</v>
      </c>
    </row>
    <row r="28" spans="1:16" ht="18" customHeight="1" x14ac:dyDescent="0.2">
      <c r="A28" s="357" t="s">
        <v>27</v>
      </c>
      <c r="B28" s="354">
        <f>'⚖ Denge Tablosu'!L9</f>
        <v>7550</v>
      </c>
      <c r="C28" s="354">
        <f>'⚖ Denge Tablosu'!L15</f>
        <v>7011</v>
      </c>
      <c r="D28" s="354">
        <f>'⚖ Denge Tablosu'!L22</f>
        <v>71.884696269066865</v>
      </c>
      <c r="E28" s="354">
        <f>IFERROR('⚖ Denge Tablosu'!L26,0)</f>
        <v>467.11530373093314</v>
      </c>
    </row>
    <row r="29" spans="1:16" ht="18" customHeight="1" x14ac:dyDescent="0.2">
      <c r="A29" s="357" t="s">
        <v>28</v>
      </c>
      <c r="B29" s="354">
        <f>'⚖ Denge Tablosu'!M9</f>
        <v>7420</v>
      </c>
      <c r="C29" s="354">
        <f>'⚖ Denge Tablosu'!M15</f>
        <v>6720</v>
      </c>
      <c r="D29" s="354">
        <f>'⚖ Denge Tablosu'!M22</f>
        <v>70.602475536357531</v>
      </c>
      <c r="E29" s="354">
        <f>IFERROR('⚖ Denge Tablosu'!M26,0)</f>
        <v>629.39752446364241</v>
      </c>
    </row>
    <row r="30" spans="1:16" ht="18" customHeight="1" x14ac:dyDescent="0.2">
      <c r="A30" s="357" t="s">
        <v>29</v>
      </c>
      <c r="B30" s="354">
        <f>'⚖ Denge Tablosu'!N9</f>
        <v>7030</v>
      </c>
      <c r="C30" s="354">
        <f>'⚖ Denge Tablosu'!N15</f>
        <v>6277</v>
      </c>
      <c r="D30" s="354">
        <f>'⚖ Denge Tablosu'!N22</f>
        <v>66.937864182351163</v>
      </c>
      <c r="E30" s="354">
        <f>IFERROR('⚖ Denge Tablosu'!N26,0)</f>
        <v>686.06213581764882</v>
      </c>
    </row>
    <row r="31" spans="1:16" ht="18" customHeight="1" x14ac:dyDescent="0.2">
      <c r="A31" s="358" t="s">
        <v>30</v>
      </c>
      <c r="B31" s="355">
        <f>'⚖ Denge Tablosu'!O9</f>
        <v>7000</v>
      </c>
      <c r="C31" s="355">
        <f>'⚖ Denge Tablosu'!O15</f>
        <v>6175</v>
      </c>
      <c r="D31" s="355">
        <f>'⚖ Denge Tablosu'!O22</f>
        <v>76.409105368274467</v>
      </c>
      <c r="E31" s="355">
        <f>IFERROR('⚖ Denge Tablosu'!O26,0)</f>
        <v>748.59089463172552</v>
      </c>
    </row>
    <row r="33" spans="1:9" ht="21.75" customHeight="1" x14ac:dyDescent="0.2">
      <c r="G33" s="359" t="s">
        <v>14</v>
      </c>
      <c r="H33" s="359" t="s">
        <v>31</v>
      </c>
    </row>
    <row r="34" spans="1:9" ht="18" customHeight="1" x14ac:dyDescent="0.2">
      <c r="G34" s="360" t="s">
        <v>19</v>
      </c>
      <c r="H34" s="362">
        <f>IFERROR('⚖ Denge Tablosu'!D26/'⚖ Denge Tablosu'!D9,0)</f>
        <v>0.10329872405789474</v>
      </c>
    </row>
    <row r="35" spans="1:9" ht="18" customHeight="1" x14ac:dyDescent="0.2">
      <c r="G35" s="360" t="s">
        <v>20</v>
      </c>
      <c r="H35" s="362">
        <f>IFERROR('⚖ Denge Tablosu'!E26/'⚖ Denge Tablosu'!E9,0)</f>
        <v>0.10132156237500405</v>
      </c>
    </row>
    <row r="36" spans="1:9" ht="18" customHeight="1" x14ac:dyDescent="0.2">
      <c r="G36" s="360" t="s">
        <v>21</v>
      </c>
      <c r="H36" s="362">
        <f>IFERROR('⚖ Denge Tablosu'!F26/'⚖ Denge Tablosu'!F9,0)</f>
        <v>8.6202325271808683E-2</v>
      </c>
    </row>
    <row r="37" spans="1:9" ht="18" customHeight="1" x14ac:dyDescent="0.2">
      <c r="G37" s="360" t="s">
        <v>22</v>
      </c>
      <c r="H37" s="362">
        <f>IFERROR('⚖ Denge Tablosu'!G26/'⚖ Denge Tablosu'!G9,0)</f>
        <v>7.9623301183646494E-2</v>
      </c>
    </row>
    <row r="38" spans="1:9" ht="18" customHeight="1" x14ac:dyDescent="0.2">
      <c r="G38" s="360" t="s">
        <v>23</v>
      </c>
      <c r="H38" s="362">
        <f>IFERROR('⚖ Denge Tablosu'!H26/'⚖ Denge Tablosu'!H9,0)</f>
        <v>6.3532556737490892E-2</v>
      </c>
    </row>
    <row r="39" spans="1:9" ht="18" customHeight="1" x14ac:dyDescent="0.2">
      <c r="G39" s="360" t="s">
        <v>24</v>
      </c>
      <c r="H39" s="362">
        <f>IFERROR('⚖ Denge Tablosu'!I26/'⚖ Denge Tablosu'!I9,0)</f>
        <v>4.9965704110606739E-2</v>
      </c>
    </row>
    <row r="40" spans="1:9" ht="18" customHeight="1" x14ac:dyDescent="0.2">
      <c r="G40" s="360" t="s">
        <v>25</v>
      </c>
      <c r="H40" s="362">
        <f>IFERROR('⚖ Denge Tablosu'!J26/'⚖ Denge Tablosu'!J9,0)</f>
        <v>4.3764420233819872E-2</v>
      </c>
    </row>
    <row r="41" spans="1:9" ht="18" customHeight="1" x14ac:dyDescent="0.2">
      <c r="G41" s="360" t="s">
        <v>26</v>
      </c>
      <c r="H41" s="362">
        <f>IFERROR('⚖ Denge Tablosu'!K26/'⚖ Denge Tablosu'!K9,0)</f>
        <v>4.7231102736707609E-2</v>
      </c>
    </row>
    <row r="42" spans="1:9" ht="18" customHeight="1" x14ac:dyDescent="0.2">
      <c r="G42" s="360" t="s">
        <v>27</v>
      </c>
      <c r="H42" s="362">
        <f>IFERROR('⚖ Denge Tablosu'!L26/'⚖ Denge Tablosu'!L9,0)</f>
        <v>6.1869576653103726E-2</v>
      </c>
    </row>
    <row r="43" spans="1:9" ht="18" customHeight="1" x14ac:dyDescent="0.2">
      <c r="G43" s="360" t="s">
        <v>28</v>
      </c>
      <c r="H43" s="362">
        <f>IFERROR('⚖ Denge Tablosu'!M26/'⚖ Denge Tablosu'!M9,0)</f>
        <v>8.4824464213428902E-2</v>
      </c>
    </row>
    <row r="44" spans="1:9" ht="18" customHeight="1" x14ac:dyDescent="0.2">
      <c r="G44" s="360" t="s">
        <v>29</v>
      </c>
      <c r="H44" s="362">
        <f>IFERROR('⚖ Denge Tablosu'!N26/'⚖ Denge Tablosu'!N9,0)</f>
        <v>9.7590630984018323E-2</v>
      </c>
    </row>
    <row r="45" spans="1:9" ht="18" customHeight="1" x14ac:dyDescent="0.2">
      <c r="G45" s="361" t="s">
        <v>30</v>
      </c>
      <c r="H45" s="363">
        <f>IFERROR('⚖ Denge Tablosu'!O26/'⚖ Denge Tablosu'!O9,0)</f>
        <v>0.10694155637596078</v>
      </c>
    </row>
    <row r="48" spans="1:9" ht="13.5" customHeight="1" x14ac:dyDescent="0.2">
      <c r="A48" s="364" t="s">
        <v>32</v>
      </c>
      <c r="B48" s="365"/>
      <c r="C48" s="365"/>
      <c r="D48" s="365"/>
      <c r="E48" s="365"/>
      <c r="F48" s="365"/>
      <c r="G48" s="365"/>
      <c r="H48" s="365"/>
      <c r="I48" s="366"/>
    </row>
  </sheetData>
  <mergeCells count="8">
    <mergeCell ref="F6:I7"/>
    <mergeCell ref="J11:M12"/>
    <mergeCell ref="N11:Q12"/>
    <mergeCell ref="B11:E12"/>
    <mergeCell ref="J6:M7"/>
    <mergeCell ref="N6:Q7"/>
    <mergeCell ref="B6:E7"/>
    <mergeCell ref="F11:I12"/>
  </mergeCells>
  <pageMargins left="0.75" right="0.75" top="1" bottom="1" header="0.511811023622047" footer="0.511811023622047"/>
  <pageSetup paperSize="9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Çalışma Sayfaları</vt:lpstr>
      </vt:variant>
      <vt:variant>
        <vt:i4>7</vt:i4>
      </vt:variant>
    </vt:vector>
  </HeadingPairs>
  <TitlesOfParts>
    <vt:vector size="7" baseType="lpstr">
      <vt:lpstr>⚙ Sistem Kurulumu</vt:lpstr>
      <vt:lpstr>🌤 Meteoroloji</vt:lpstr>
      <vt:lpstr>💧 Sayaç Verileri (T1)</vt:lpstr>
      <vt:lpstr>🔧 Ekipman Listesi (T2)</vt:lpstr>
      <vt:lpstr>💨 Buharlaşma (ASHRAE)</vt:lpstr>
      <vt:lpstr>⚖ Denge Tablosu</vt:lpstr>
      <vt:lpstr>📊 Dashboard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Ekrem Sabır Gezer</cp:lastModifiedBy>
  <cp:revision>3</cp:revision>
  <dcterms:created xsi:type="dcterms:W3CDTF">2026-03-23T21:05:02Z</dcterms:created>
  <dcterms:modified xsi:type="dcterms:W3CDTF">2026-04-11T09:58:03Z</dcterms:modified>
  <dc:language>en-US</dc:language>
</cp:coreProperties>
</file>